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9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10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1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1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- 2021 Statements\"/>
    </mc:Choice>
  </mc:AlternateContent>
  <xr:revisionPtr revIDLastSave="0" documentId="13_ncr:1_{FEEBCCEF-EA6D-4E4D-94FE-FEF7880C648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1-22 Budget Proposed 7 8 21" sheetId="24" r:id="rId1"/>
    <sheet name="Final June 2021" sheetId="26" r:id="rId2"/>
    <sheet name="April 2021" sheetId="23" r:id="rId3"/>
    <sheet name="February 2021 New approval" sheetId="22" r:id="rId4"/>
    <sheet name="February 2021" sheetId="21" r:id="rId5"/>
    <sheet name="Nov 2020" sheetId="20" r:id="rId6"/>
    <sheet name="20-21 Budget Mtg" sheetId="19" r:id="rId7"/>
    <sheet name="June 2020" sheetId="18" r:id="rId8"/>
    <sheet name="Nov 2019" sheetId="17" r:id="rId9"/>
    <sheet name="Sept 2019" sheetId="16" r:id="rId10"/>
    <sheet name="19-20 Budget Mtg" sheetId="14" r:id="rId11"/>
    <sheet name="FINAL 18-19" sheetId="15" r:id="rId12"/>
    <sheet name="April 2019" sheetId="13" r:id="rId13"/>
    <sheet name="Feb 2019" sheetId="12" r:id="rId14"/>
    <sheet name="Nov 2018" sheetId="11" r:id="rId15"/>
    <sheet name="Sept 2018" sheetId="10" r:id="rId16"/>
    <sheet name="FINAL 17-18" sheetId="9" r:id="rId17"/>
    <sheet name="April 2018" sheetId="6" r:id="rId18"/>
    <sheet name="Mar 2018" sheetId="5" r:id="rId19"/>
    <sheet name="Feb 2018" sheetId="4" r:id="rId20"/>
    <sheet name="Jan 2018" sheetId="3" r:id="rId21"/>
    <sheet name="Oct 2017" sheetId="2" r:id="rId22"/>
    <sheet name="Sept 2017" sheetId="1" r:id="rId23"/>
  </sheets>
  <definedNames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'19-20 Budget Mtg'!$A$1:$J$49</definedName>
    <definedName name="_xlnm.Print_Area" localSheetId="6">'20-21 Budget Mtg'!$A$1:$K$49</definedName>
    <definedName name="_xlnm.Print_Area" localSheetId="0">'21-22 Budget Proposed 7 8 21'!$A$1:$G$53</definedName>
    <definedName name="_xlnm.Print_Area" localSheetId="17">'April 2018'!$A$1:$P$82</definedName>
    <definedName name="_xlnm.Print_Area" localSheetId="12">'April 2019'!$A$1:$H$36</definedName>
    <definedName name="_xlnm.Print_Area" localSheetId="2">'April 2021'!$A$1:$F$52</definedName>
    <definedName name="_xlnm.Print_Area" localSheetId="19">'Feb 2018'!$A$1:$P$82</definedName>
    <definedName name="_xlnm.Print_Area" localSheetId="13">'Feb 2019'!$A$1:$H$36</definedName>
    <definedName name="_xlnm.Print_Area" localSheetId="4">'February 2021'!$A$1:$F$52</definedName>
    <definedName name="_xlnm.Print_Area" localSheetId="3">'February 2021 New approval'!$A$1:$F$52</definedName>
    <definedName name="_xlnm.Print_Area" localSheetId="16">'FINAL 17-18'!$A$1:$M$101</definedName>
    <definedName name="_xlnm.Print_Area" localSheetId="11">'FINAL 18-19'!$A$1:$G$36</definedName>
    <definedName name="_xlnm.Print_Area" localSheetId="1">'Final June 2021'!$A$1:$F$52</definedName>
    <definedName name="_xlnm.Print_Area" localSheetId="20">'Jan 2018'!$A$1:$P$82</definedName>
    <definedName name="_xlnm.Print_Area" localSheetId="7">'June 2020'!$A$1:$I$53</definedName>
    <definedName name="_xlnm.Print_Area" localSheetId="18">'Mar 2018'!$A$1:$P$82</definedName>
    <definedName name="_xlnm.Print_Area" localSheetId="14">'Nov 2018'!$A$1:$H$36</definedName>
    <definedName name="_xlnm.Print_Area" localSheetId="8">'Nov 2019'!$A$1:$I$53</definedName>
    <definedName name="_xlnm.Print_Area" localSheetId="5">'Nov 2020'!$A$1:$F$52</definedName>
    <definedName name="_xlnm.Print_Area" localSheetId="21">'Oct 2017'!$A$1:$P$82</definedName>
    <definedName name="_xlnm.Print_Area" localSheetId="22">'Sept 2017'!$A$1:$P$82</definedName>
    <definedName name="_xlnm.Print_Area" localSheetId="15">'Sept 2018'!$A$1:$H$36</definedName>
    <definedName name="_xlnm.Print_Area" localSheetId="9">'Sept 2019'!$A$1:$I$53</definedName>
    <definedName name="_xlnm.Print_Titles" localSheetId="17">'April 2018'!$A:$F,'April 2018'!$1:$2</definedName>
    <definedName name="_xlnm.Print_Titles" localSheetId="19">'Feb 2018'!$A:$F,'Feb 2018'!$1:$2</definedName>
    <definedName name="_xlnm.Print_Titles" localSheetId="16">'FINAL 17-18'!$1:$2</definedName>
    <definedName name="_xlnm.Print_Titles" localSheetId="20">'Jan 2018'!$A:$F,'Jan 2018'!$1:$2</definedName>
    <definedName name="_xlnm.Print_Titles" localSheetId="18">'Mar 2018'!$A:$F,'Mar 2018'!$1:$2</definedName>
    <definedName name="_xlnm.Print_Titles" localSheetId="21">'Oct 2017'!$A:$F,'Oct 2017'!$1:$2</definedName>
    <definedName name="_xlnm.Print_Titles" localSheetId="22">'Sept 2017'!$A:$F,'Sept 2017'!$1:$2</definedName>
    <definedName name="QB_COLUMN_59200" localSheetId="17" hidden="1">'April 2018'!$G$2</definedName>
    <definedName name="QB_COLUMN_59200" localSheetId="19" hidden="1">'Feb 2018'!$G$2</definedName>
    <definedName name="QB_COLUMN_59200" localSheetId="20" hidden="1">'Jan 2018'!$G$2</definedName>
    <definedName name="QB_COLUMN_59200" localSheetId="18" hidden="1">'Mar 2018'!$G$2</definedName>
    <definedName name="QB_COLUMN_59200" localSheetId="21" hidden="1">'Oct 2017'!$G$2</definedName>
    <definedName name="QB_COLUMN_59200" localSheetId="22" hidden="1">'Sept 2017'!$G$2</definedName>
    <definedName name="QB_COLUMN_61210" localSheetId="17" hidden="1">'April 2018'!$I$2</definedName>
    <definedName name="QB_COLUMN_61210" localSheetId="19" hidden="1">'Feb 2018'!$I$2</definedName>
    <definedName name="QB_COLUMN_61210" localSheetId="20" hidden="1">'Jan 2018'!$I$2</definedName>
    <definedName name="QB_COLUMN_61210" localSheetId="18" hidden="1">'Mar 2018'!$I$2</definedName>
    <definedName name="QB_COLUMN_61210" localSheetId="21" hidden="1">'Oct 2017'!$I$2</definedName>
    <definedName name="QB_COLUMN_61210" localSheetId="22" hidden="1">'Sept 2017'!$I$2</definedName>
    <definedName name="QB_COLUMN_63620" localSheetId="17" hidden="1">'April 2018'!$K$2</definedName>
    <definedName name="QB_COLUMN_63620" localSheetId="19" hidden="1">'Feb 2018'!$K$2</definedName>
    <definedName name="QB_COLUMN_63620" localSheetId="20" hidden="1">'Jan 2018'!$K$2</definedName>
    <definedName name="QB_COLUMN_63620" localSheetId="18" hidden="1">'Mar 2018'!$K$2</definedName>
    <definedName name="QB_COLUMN_63620" localSheetId="21" hidden="1">'Oct 2017'!$K$2</definedName>
    <definedName name="QB_COLUMN_63620" localSheetId="22" hidden="1">'Sept 2017'!$K$2</definedName>
    <definedName name="QB_COLUMN_64830" localSheetId="17" hidden="1">'April 2018'!$M$2</definedName>
    <definedName name="QB_COLUMN_64830" localSheetId="19" hidden="1">'Feb 2018'!$M$2</definedName>
    <definedName name="QB_COLUMN_64830" localSheetId="20" hidden="1">'Jan 2018'!$M$2</definedName>
    <definedName name="QB_COLUMN_64830" localSheetId="18" hidden="1">'Mar 2018'!$M$2</definedName>
    <definedName name="QB_COLUMN_64830" localSheetId="21" hidden="1">'Oct 2017'!$M$2</definedName>
    <definedName name="QB_COLUMN_64830" localSheetId="22" hidden="1">'Sept 2017'!$M$2</definedName>
    <definedName name="QB_DATA_0" localSheetId="17" hidden="1">'April 2018'!$5:$5,'April 2018'!$6:$6,'April 2018'!$8:$8,'April 2018'!$9:$9,'April 2018'!$10:$10,'April 2018'!$12:$12,'April 2018'!$13:$13,'April 2018'!$14:$14,'April 2018'!$15:$15,'April 2018'!$17:$17,'April 2018'!$18:$18,'April 2018'!$20:$20,'April 2018'!$23:$23,'April 2018'!$24:$24,'April 2018'!$27:$27,'April 2018'!$28:$28</definedName>
    <definedName name="QB_DATA_0" localSheetId="19" hidden="1">'Feb 2018'!$5:$5,'Feb 2018'!$6:$6,'Feb 2018'!$8:$8,'Feb 2018'!$9:$9,'Feb 2018'!$10:$10,'Feb 2018'!$12:$12,'Feb 2018'!$13:$13,'Feb 2018'!$14:$14,'Feb 2018'!$15:$15,'Feb 2018'!$17:$17,'Feb 2018'!$18:$18,'Feb 2018'!$20:$20,'Feb 2018'!$23:$23,'Feb 2018'!$24:$24,'Feb 2018'!$27:$27,'Feb 2018'!$28:$28</definedName>
    <definedName name="QB_DATA_0" localSheetId="20" hidden="1">'Jan 2018'!$5:$5,'Jan 2018'!$6:$6,'Jan 2018'!$8:$8,'Jan 2018'!$9:$9,'Jan 2018'!$10:$10,'Jan 2018'!$12:$12,'Jan 2018'!$13:$13,'Jan 2018'!$14:$14,'Jan 2018'!$15:$15,'Jan 2018'!$17:$17,'Jan 2018'!$18:$18,'Jan 2018'!$20:$20,'Jan 2018'!$23:$23,'Jan 2018'!$24:$24,'Jan 2018'!$27:$27,'Jan 2018'!$28:$28</definedName>
    <definedName name="QB_DATA_0" localSheetId="18" hidden="1">'Mar 2018'!$5:$5,'Mar 2018'!$6:$6,'Mar 2018'!$8:$8,'Mar 2018'!$9:$9,'Mar 2018'!$10:$10,'Mar 2018'!$12:$12,'Mar 2018'!$13:$13,'Mar 2018'!$14:$14,'Mar 2018'!$15:$15,'Mar 2018'!$17:$17,'Mar 2018'!$18:$18,'Mar 2018'!$20:$20,'Mar 2018'!$23:$23,'Mar 2018'!$24:$24,'Mar 2018'!$27:$27,'Mar 2018'!$28:$28</definedName>
    <definedName name="QB_DATA_0" localSheetId="21" hidden="1">'Oct 2017'!$5:$5,'Oct 2017'!$6:$6,'Oct 2017'!$8:$8,'Oct 2017'!$9:$9,'Oct 2017'!$10:$10,'Oct 2017'!$12:$12,'Oct 2017'!$13:$13,'Oct 2017'!$14:$14,'Oct 2017'!$15:$15,'Oct 2017'!$17:$17,'Oct 2017'!$18:$18,'Oct 2017'!$20:$20,'Oct 2017'!$23:$23,'Oct 2017'!$24:$24,'Oct 2017'!$27:$27,'Oct 2017'!$28:$28</definedName>
    <definedName name="QB_DATA_0" localSheetId="22" hidden="1">'Sept 2017'!$5:$5,'Sept 2017'!$6:$6,'Sept 2017'!$8:$8,'Sept 2017'!$9:$9,'Sept 2017'!$10:$10,'Sept 2017'!$12:$12,'Sept 2017'!$13:$13,'Sept 2017'!$14:$14,'Sept 2017'!$15:$15,'Sept 2017'!$17:$17,'Sept 2017'!$18:$18,'Sept 2017'!$20:$20,'Sept 2017'!$23:$23,'Sept 2017'!$24:$24,'Sept 2017'!$27:$27,'Sept 2017'!$28:$28</definedName>
    <definedName name="QB_DATA_1" localSheetId="17" hidden="1">'April 2018'!$30:$30,'April 2018'!$34:$34,'April 2018'!$35:$35,'April 2018'!$36:$36,'April 2018'!$39:$39,'April 2018'!$40:$40,'April 2018'!$41:$41,'April 2018'!$42:$42,'April 2018'!$43:$43,'April 2018'!$45:$45,'April 2018'!$49:$49,'April 2018'!$52:$52,'April 2018'!$54:$54,'April 2018'!$56:$56,'April 2018'!$57:$57,'April 2018'!$60:$60</definedName>
    <definedName name="QB_DATA_1" localSheetId="19" hidden="1">'Feb 2018'!$30:$30,'Feb 2018'!$34:$34,'Feb 2018'!$35:$35,'Feb 2018'!$36:$36,'Feb 2018'!$39:$39,'Feb 2018'!$40:$40,'Feb 2018'!$41:$41,'Feb 2018'!$42:$42,'Feb 2018'!$43:$43,'Feb 2018'!$45:$45,'Feb 2018'!$49:$49,'Feb 2018'!$52:$52,'Feb 2018'!$54:$54,'Feb 2018'!$56:$56,'Feb 2018'!$57:$57,'Feb 2018'!$60:$60</definedName>
    <definedName name="QB_DATA_1" localSheetId="20" hidden="1">'Jan 2018'!$30:$30,'Jan 2018'!$34:$34,'Jan 2018'!$35:$35,'Jan 2018'!$36:$36,'Jan 2018'!$39:$39,'Jan 2018'!$40:$40,'Jan 2018'!$41:$41,'Jan 2018'!$42:$42,'Jan 2018'!$43:$43,'Jan 2018'!$45:$45,'Jan 2018'!$49:$49,'Jan 2018'!$52:$52,'Jan 2018'!$54:$54,'Jan 2018'!$56:$56,'Jan 2018'!$57:$57,'Jan 2018'!$60:$60</definedName>
    <definedName name="QB_DATA_1" localSheetId="18" hidden="1">'Mar 2018'!$30:$30,'Mar 2018'!$34:$34,'Mar 2018'!$35:$35,'Mar 2018'!$36:$36,'Mar 2018'!$39:$39,'Mar 2018'!$40:$40,'Mar 2018'!$41:$41,'Mar 2018'!$42:$42,'Mar 2018'!$43:$43,'Mar 2018'!$45:$45,'Mar 2018'!$49:$49,'Mar 2018'!$52:$52,'Mar 2018'!$54:$54,'Mar 2018'!$56:$56,'Mar 2018'!$57:$57,'Mar 2018'!$60:$60</definedName>
    <definedName name="QB_DATA_1" localSheetId="21" hidden="1">'Oct 2017'!$30:$30,'Oct 2017'!$34:$34,'Oct 2017'!$35:$35,'Oct 2017'!$36:$36,'Oct 2017'!$39:$39,'Oct 2017'!$40:$40,'Oct 2017'!$41:$41,'Oct 2017'!$42:$42,'Oct 2017'!$43:$43,'Oct 2017'!$45:$45,'Oct 2017'!$49:$49,'Oct 2017'!$52:$52,'Oct 2017'!$54:$54,'Oct 2017'!$56:$56,'Oct 2017'!$57:$57,'Oct 2017'!$60:$60</definedName>
    <definedName name="QB_DATA_1" localSheetId="22" hidden="1">'Sept 2017'!$30:$30,'Sept 2017'!$34:$34,'Sept 2017'!$35:$35,'Sept 2017'!$36:$36,'Sept 2017'!$39:$39,'Sept 2017'!$40:$40,'Sept 2017'!$41:$41,'Sept 2017'!$42:$42,'Sept 2017'!$43:$43,'Sept 2017'!$45:$45,'Sept 2017'!$49:$49,'Sept 2017'!$52:$52,'Sept 2017'!$54:$54,'Sept 2017'!$56:$56,'Sept 2017'!$57:$57,'Sept 2017'!$60:$60</definedName>
    <definedName name="QB_DATA_2" localSheetId="17" hidden="1">'April 2018'!$61:$61,'April 2018'!$65:$65,'April 2018'!$66:$66,'April 2018'!$67:$67,'April 2018'!$68:$68,'April 2018'!$69:$69,'April 2018'!$71:$71,'April 2018'!$72:$72,'April 2018'!$74:$74,'April 2018'!$76:$76,'April 2018'!$77:$77,'April 2018'!$78:$78,'April 2018'!$80:$80</definedName>
    <definedName name="QB_DATA_2" localSheetId="19" hidden="1">'Feb 2018'!$61:$61,'Feb 2018'!$65:$65,'Feb 2018'!$66:$66,'Feb 2018'!$67:$67,'Feb 2018'!$68:$68,'Feb 2018'!$69:$69,'Feb 2018'!$71:$71,'Feb 2018'!$72:$72,'Feb 2018'!$74:$74,'Feb 2018'!$76:$76,'Feb 2018'!$77:$77,'Feb 2018'!$78:$78,'Feb 2018'!$80:$80</definedName>
    <definedName name="QB_DATA_2" localSheetId="20" hidden="1">'Jan 2018'!$61:$61,'Jan 2018'!$65:$65,'Jan 2018'!$66:$66,'Jan 2018'!$67:$67,'Jan 2018'!$68:$68,'Jan 2018'!$69:$69,'Jan 2018'!$71:$71,'Jan 2018'!$72:$72,'Jan 2018'!$74:$74,'Jan 2018'!$76:$76,'Jan 2018'!$77:$77,'Jan 2018'!$78:$78,'Jan 2018'!$80:$80</definedName>
    <definedName name="QB_DATA_2" localSheetId="18" hidden="1">'Mar 2018'!$61:$61,'Mar 2018'!$65:$65,'Mar 2018'!$66:$66,'Mar 2018'!$67:$67,'Mar 2018'!$68:$68,'Mar 2018'!$69:$69,'Mar 2018'!$71:$71,'Mar 2018'!$72:$72,'Mar 2018'!$74:$74,'Mar 2018'!$76:$76,'Mar 2018'!$77:$77,'Mar 2018'!$78:$78,'Mar 2018'!$80:$80</definedName>
    <definedName name="QB_DATA_2" localSheetId="21" hidden="1">'Oct 2017'!$61:$61,'Oct 2017'!$65:$65,'Oct 2017'!$66:$66,'Oct 2017'!$67:$67,'Oct 2017'!$68:$68,'Oct 2017'!$69:$69,'Oct 2017'!$71:$71,'Oct 2017'!$72:$72,'Oct 2017'!$74:$74,'Oct 2017'!$76:$76,'Oct 2017'!$77:$77,'Oct 2017'!$78:$78,'Oct 2017'!$80:$80</definedName>
    <definedName name="QB_DATA_2" localSheetId="22" hidden="1">'Sept 2017'!$61:$61,'Sept 2017'!$65:$65,'Sept 2017'!$66:$66,'Sept 2017'!$67:$67,'Sept 2017'!$68:$68,'Sept 2017'!$69:$69,'Sept 2017'!$71:$71,'Sept 2017'!$72:$72,'Sept 2017'!$74:$74,'Sept 2017'!$76:$76,'Sept 2017'!$77:$77,'Sept 2017'!$78:$78,'Sept 2017'!$80:$80</definedName>
    <definedName name="QB_FORMULA_0" localSheetId="17" hidden="1">'April 2018'!$K$5,'April 2018'!$M$5,'April 2018'!$K$6,'April 2018'!$M$6,'April 2018'!$G$7,'April 2018'!$I$7,'April 2018'!$K$7,'April 2018'!$M$7,'April 2018'!$K$8,'April 2018'!$M$8,'April 2018'!$K$9,'April 2018'!$M$9,'April 2018'!$K$10,'April 2018'!$M$10,'April 2018'!$K$12,'April 2018'!$M$12</definedName>
    <definedName name="QB_FORMULA_0" localSheetId="19" hidden="1">'Feb 2018'!$K$5,'Feb 2018'!$M$5,'Feb 2018'!$K$6,'Feb 2018'!$M$6,'Feb 2018'!$G$7,'Feb 2018'!$I$7,'Feb 2018'!$K$7,'Feb 2018'!$M$7,'Feb 2018'!$K$8,'Feb 2018'!$M$8,'Feb 2018'!$K$9,'Feb 2018'!$M$9,'Feb 2018'!$K$10,'Feb 2018'!$M$10,'Feb 2018'!$K$12,'Feb 2018'!$M$12</definedName>
    <definedName name="QB_FORMULA_0" localSheetId="20" hidden="1">'Jan 2018'!$K$5,'Jan 2018'!$M$5,'Jan 2018'!$K$6,'Jan 2018'!$M$6,'Jan 2018'!$G$7,'Jan 2018'!$I$7,'Jan 2018'!$K$7,'Jan 2018'!$M$7,'Jan 2018'!$K$8,'Jan 2018'!$M$8,'Jan 2018'!$K$9,'Jan 2018'!$M$9,'Jan 2018'!$K$10,'Jan 2018'!$M$10,'Jan 2018'!$K$12,'Jan 2018'!$M$12</definedName>
    <definedName name="QB_FORMULA_0" localSheetId="18" hidden="1">'Mar 2018'!$K$5,'Mar 2018'!$M$5,'Mar 2018'!$K$6,'Mar 2018'!$M$6,'Mar 2018'!$G$7,'Mar 2018'!$I$7,'Mar 2018'!$K$7,'Mar 2018'!$M$7,'Mar 2018'!$K$8,'Mar 2018'!$M$8,'Mar 2018'!$K$9,'Mar 2018'!$M$9,'Mar 2018'!$K$10,'Mar 2018'!$M$10,'Mar 2018'!$K$12,'Mar 2018'!$M$12</definedName>
    <definedName name="QB_FORMULA_0" localSheetId="21" hidden="1">'Oct 2017'!$K$5,'Oct 2017'!$M$5,'Oct 2017'!$K$6,'Oct 2017'!$M$6,'Oct 2017'!$G$7,'Oct 2017'!$I$7,'Oct 2017'!$K$7,'Oct 2017'!$M$7,'Oct 2017'!$K$8,'Oct 2017'!$M$8,'Oct 2017'!$K$9,'Oct 2017'!$M$9,'Oct 2017'!$K$10,'Oct 2017'!$M$10,'Oct 2017'!$K$12,'Oct 2017'!$M$12</definedName>
    <definedName name="QB_FORMULA_0" localSheetId="22" hidden="1">'Sept 2017'!$K$5,'Sept 2017'!$M$5,'Sept 2017'!$K$6,'Sept 2017'!$M$6,'Sept 2017'!$G$7,'Sept 2017'!$I$7,'Sept 2017'!$K$7,'Sept 2017'!$M$7,'Sept 2017'!$K$8,'Sept 2017'!$M$8,'Sept 2017'!$K$9,'Sept 2017'!$M$9,'Sept 2017'!$K$10,'Sept 2017'!$M$10,'Sept 2017'!$K$12,'Sept 2017'!$M$12</definedName>
    <definedName name="QB_FORMULA_1" localSheetId="17" hidden="1">'April 2018'!$K$13,'April 2018'!$M$13,'April 2018'!$K$14,'April 2018'!$M$14,'April 2018'!$K$15,'April 2018'!$M$15,'April 2018'!$G$16,'April 2018'!$I$16,'April 2018'!$K$16,'April 2018'!$M$16,'April 2018'!$K$17,'April 2018'!$M$17,'April 2018'!$K$18,'April 2018'!$M$18,'April 2018'!$K$20,'April 2018'!$M$20</definedName>
    <definedName name="QB_FORMULA_1" localSheetId="19" hidden="1">'Feb 2018'!$K$13,'Feb 2018'!$M$13,'Feb 2018'!$K$14,'Feb 2018'!$M$14,'Feb 2018'!$K$15,'Feb 2018'!$M$15,'Feb 2018'!$G$16,'Feb 2018'!$I$16,'Feb 2018'!$K$16,'Feb 2018'!$M$16,'Feb 2018'!$K$17,'Feb 2018'!$M$17,'Feb 2018'!$K$18,'Feb 2018'!$M$18,'Feb 2018'!$K$20,'Feb 2018'!$M$20</definedName>
    <definedName name="QB_FORMULA_1" localSheetId="20" hidden="1">'Jan 2018'!$K$13,'Jan 2018'!$M$13,'Jan 2018'!$K$14,'Jan 2018'!$M$14,'Jan 2018'!$K$15,'Jan 2018'!$M$15,'Jan 2018'!$G$16,'Jan 2018'!$I$16,'Jan 2018'!$K$16,'Jan 2018'!$M$16,'Jan 2018'!$K$17,'Jan 2018'!$M$17,'Jan 2018'!$K$18,'Jan 2018'!$M$18,'Jan 2018'!$K$20,'Jan 2018'!$M$20</definedName>
    <definedName name="QB_FORMULA_1" localSheetId="18" hidden="1">'Mar 2018'!$K$13,'Mar 2018'!$M$13,'Mar 2018'!$K$14,'Mar 2018'!$M$14,'Mar 2018'!$K$15,'Mar 2018'!$M$15,'Mar 2018'!$G$16,'Mar 2018'!$I$16,'Mar 2018'!$K$16,'Mar 2018'!$M$16,'Mar 2018'!$K$17,'Mar 2018'!$M$17,'Mar 2018'!$K$18,'Mar 2018'!$M$18,'Mar 2018'!$K$20,'Mar 2018'!$M$20</definedName>
    <definedName name="QB_FORMULA_1" localSheetId="21" hidden="1">'Oct 2017'!$K$13,'Oct 2017'!$M$13,'Oct 2017'!$K$14,'Oct 2017'!$M$14,'Oct 2017'!$K$15,'Oct 2017'!$M$15,'Oct 2017'!$G$16,'Oct 2017'!$I$16,'Oct 2017'!$K$16,'Oct 2017'!$M$16,'Oct 2017'!$K$17,'Oct 2017'!$M$17,'Oct 2017'!$K$18,'Oct 2017'!$M$18,'Oct 2017'!$K$20,'Oct 2017'!$M$20</definedName>
    <definedName name="QB_FORMULA_1" localSheetId="22" hidden="1">'Sept 2017'!$K$13,'Sept 2017'!$M$13,'Sept 2017'!$K$14,'Sept 2017'!$M$14,'Sept 2017'!$K$15,'Sept 2017'!$M$15,'Sept 2017'!$G$16,'Sept 2017'!$I$16,'Sept 2017'!$K$16,'Sept 2017'!$M$16,'Sept 2017'!$K$17,'Sept 2017'!$M$17,'Sept 2017'!$K$18,'Sept 2017'!$M$18,'Sept 2017'!$K$20,'Sept 2017'!$M$20</definedName>
    <definedName name="QB_FORMULA_10" localSheetId="17" hidden="1">'April 2018'!$K$82,'April 2018'!$M$82</definedName>
    <definedName name="QB_FORMULA_10" localSheetId="19" hidden="1">'Feb 2018'!$K$82,'Feb 2018'!$M$82</definedName>
    <definedName name="QB_FORMULA_10" localSheetId="20" hidden="1">'Jan 2018'!$K$82,'Jan 2018'!$M$82</definedName>
    <definedName name="QB_FORMULA_10" localSheetId="18" hidden="1">'Mar 2018'!$K$82,'Mar 2018'!$M$82</definedName>
    <definedName name="QB_FORMULA_10" localSheetId="21" hidden="1">'Oct 2017'!$K$82,'Oct 2017'!$M$82</definedName>
    <definedName name="QB_FORMULA_10" localSheetId="22" hidden="1">'Sept 2017'!$K$82,'Sept 2017'!$M$82</definedName>
    <definedName name="QB_FORMULA_2" localSheetId="17" hidden="1">'April 2018'!$K$23,'April 2018'!$M$23,'April 2018'!$K$24,'April 2018'!$M$24,'April 2018'!$G$25,'April 2018'!$I$25,'April 2018'!$K$25,'April 2018'!$M$25,'April 2018'!$K$27,'April 2018'!$M$27,'April 2018'!$K$28,'April 2018'!$M$28,'April 2018'!$G$29,'April 2018'!$I$29,'April 2018'!$K$29,'April 2018'!$M$29</definedName>
    <definedName name="QB_FORMULA_2" localSheetId="19" hidden="1">'Feb 2018'!$K$23,'Feb 2018'!$M$23,'Feb 2018'!$K$24,'Feb 2018'!$M$24,'Feb 2018'!$G$25,'Feb 2018'!$I$25,'Feb 2018'!$K$25,'Feb 2018'!$M$25,'Feb 2018'!$K$27,'Feb 2018'!$M$27,'Feb 2018'!$K$28,'Feb 2018'!$M$28,'Feb 2018'!$G$29,'Feb 2018'!$I$29,'Feb 2018'!$K$29,'Feb 2018'!$M$29</definedName>
    <definedName name="QB_FORMULA_2" localSheetId="20" hidden="1">'Jan 2018'!$K$23,'Jan 2018'!$M$23,'Jan 2018'!$K$24,'Jan 2018'!$M$24,'Jan 2018'!$G$25,'Jan 2018'!$I$25,'Jan 2018'!$K$25,'Jan 2018'!$M$25,'Jan 2018'!$K$27,'Jan 2018'!$M$27,'Jan 2018'!$K$28,'Jan 2018'!$M$28,'Jan 2018'!$G$29,'Jan 2018'!$I$29,'Jan 2018'!$K$29,'Jan 2018'!$M$29</definedName>
    <definedName name="QB_FORMULA_2" localSheetId="18" hidden="1">'Mar 2018'!$K$23,'Mar 2018'!$M$23,'Mar 2018'!$K$24,'Mar 2018'!$M$24,'Mar 2018'!$G$25,'Mar 2018'!$I$25,'Mar 2018'!$K$25,'Mar 2018'!$M$25,'Mar 2018'!$K$27,'Mar 2018'!$M$27,'Mar 2018'!$K$28,'Mar 2018'!$M$28,'Mar 2018'!$G$29,'Mar 2018'!$I$29,'Mar 2018'!$K$29,'Mar 2018'!$M$29</definedName>
    <definedName name="QB_FORMULA_2" localSheetId="21" hidden="1">'Oct 2017'!$K$23,'Oct 2017'!$M$23,'Oct 2017'!$K$24,'Oct 2017'!$M$24,'Oct 2017'!$G$25,'Oct 2017'!$I$25,'Oct 2017'!$K$25,'Oct 2017'!$M$25,'Oct 2017'!$K$27,'Oct 2017'!$M$27,'Oct 2017'!$K$28,'Oct 2017'!$M$28,'Oct 2017'!$G$29,'Oct 2017'!$I$29,'Oct 2017'!$K$29,'Oct 2017'!$M$29</definedName>
    <definedName name="QB_FORMULA_2" localSheetId="22" hidden="1">'Sept 2017'!$K$23,'Sept 2017'!$M$23,'Sept 2017'!$K$24,'Sept 2017'!$M$24,'Sept 2017'!$G$25,'Sept 2017'!$I$25,'Sept 2017'!$K$25,'Sept 2017'!$M$25,'Sept 2017'!$K$27,'Sept 2017'!$M$27,'Sept 2017'!$K$28,'Sept 2017'!$M$28,'Sept 2017'!$G$29,'Sept 2017'!$I$29,'Sept 2017'!$K$29,'Sept 2017'!$M$29</definedName>
    <definedName name="QB_FORMULA_3" localSheetId="17" hidden="1">'April 2018'!$K$30,'April 2018'!$M$30,'April 2018'!$G$31,'April 2018'!$I$31,'April 2018'!$K$31,'April 2018'!$M$31,'April 2018'!$K$34,'April 2018'!$M$34,'April 2018'!$K$35,'April 2018'!$M$35,'April 2018'!$K$36,'April 2018'!$M$36,'April 2018'!$G$37,'April 2018'!$I$37,'April 2018'!$K$37,'April 2018'!$M$37</definedName>
    <definedName name="QB_FORMULA_3" localSheetId="19" hidden="1">'Feb 2018'!$K$30,'Feb 2018'!$M$30,'Feb 2018'!$G$31,'Feb 2018'!$I$31,'Feb 2018'!$K$31,'Feb 2018'!$M$31,'Feb 2018'!$K$34,'Feb 2018'!$M$34,'Feb 2018'!$K$35,'Feb 2018'!$M$35,'Feb 2018'!$K$36,'Feb 2018'!$M$36,'Feb 2018'!$G$37,'Feb 2018'!$I$37,'Feb 2018'!$K$37,'Feb 2018'!$M$37</definedName>
    <definedName name="QB_FORMULA_3" localSheetId="20" hidden="1">'Jan 2018'!$K$30,'Jan 2018'!$M$30,'Jan 2018'!$G$31,'Jan 2018'!$I$31,'Jan 2018'!$K$31,'Jan 2018'!$M$31,'Jan 2018'!$K$34,'Jan 2018'!$M$34,'Jan 2018'!$K$35,'Jan 2018'!$M$35,'Jan 2018'!$K$36,'Jan 2018'!$M$36,'Jan 2018'!$G$37,'Jan 2018'!$I$37,'Jan 2018'!$K$37,'Jan 2018'!$M$37</definedName>
    <definedName name="QB_FORMULA_3" localSheetId="18" hidden="1">'Mar 2018'!$K$30,'Mar 2018'!$M$30,'Mar 2018'!$G$31,'Mar 2018'!$I$31,'Mar 2018'!$K$31,'Mar 2018'!$M$31,'Mar 2018'!$K$34,'Mar 2018'!$M$34,'Mar 2018'!$K$35,'Mar 2018'!$M$35,'Mar 2018'!$K$36,'Mar 2018'!$M$36,'Mar 2018'!$G$37,'Mar 2018'!$I$37,'Mar 2018'!$K$37,'Mar 2018'!$M$37</definedName>
    <definedName name="QB_FORMULA_3" localSheetId="21" hidden="1">'Oct 2017'!$K$30,'Oct 2017'!$M$30,'Oct 2017'!$G$31,'Oct 2017'!$I$31,'Oct 2017'!$K$31,'Oct 2017'!$M$31,'Oct 2017'!$K$34,'Oct 2017'!$M$34,'Oct 2017'!$K$35,'Oct 2017'!$M$35,'Oct 2017'!$K$36,'Oct 2017'!$M$36,'Oct 2017'!$G$37,'Oct 2017'!$I$37,'Oct 2017'!$K$37,'Oct 2017'!$M$37</definedName>
    <definedName name="QB_FORMULA_3" localSheetId="22" hidden="1">'Sept 2017'!$K$30,'Sept 2017'!$M$30,'Sept 2017'!$G$31,'Sept 2017'!$I$31,'Sept 2017'!$K$31,'Sept 2017'!$M$31,'Sept 2017'!$K$34,'Sept 2017'!$M$34,'Sept 2017'!$K$35,'Sept 2017'!$M$35,'Sept 2017'!$K$36,'Sept 2017'!$M$36,'Sept 2017'!$G$37,'Sept 2017'!$I$37,'Sept 2017'!$K$37,'Sept 2017'!$M$37</definedName>
    <definedName name="QB_FORMULA_4" localSheetId="17" hidden="1">'April 2018'!$K$39,'April 2018'!$M$39,'April 2018'!$K$40,'April 2018'!$M$40,'April 2018'!$K$41,'April 2018'!$M$41,'April 2018'!$K$42,'April 2018'!$M$42,'April 2018'!$K$43,'April 2018'!$M$43,'April 2018'!$G$44,'April 2018'!$I$44,'April 2018'!$K$44,'April 2018'!$M$44,'April 2018'!$K$45,'April 2018'!$M$45</definedName>
    <definedName name="QB_FORMULA_4" localSheetId="19" hidden="1">'Feb 2018'!$K$39,'Feb 2018'!$M$39,'Feb 2018'!$K$40,'Feb 2018'!$M$40,'Feb 2018'!$K$41,'Feb 2018'!$M$41,'Feb 2018'!$K$42,'Feb 2018'!$M$42,'Feb 2018'!$K$43,'Feb 2018'!$M$43,'Feb 2018'!$G$44,'Feb 2018'!$I$44,'Feb 2018'!$K$44,'Feb 2018'!$M$44,'Feb 2018'!$K$45,'Feb 2018'!$M$45</definedName>
    <definedName name="QB_FORMULA_4" localSheetId="20" hidden="1">'Jan 2018'!$K$39,'Jan 2018'!$M$39,'Jan 2018'!$K$40,'Jan 2018'!$M$40,'Jan 2018'!$K$41,'Jan 2018'!$M$41,'Jan 2018'!$K$42,'Jan 2018'!$M$42,'Jan 2018'!$K$43,'Jan 2018'!$M$43,'Jan 2018'!$G$44,'Jan 2018'!$I$44,'Jan 2018'!$K$44,'Jan 2018'!$M$44,'Jan 2018'!$K$45,'Jan 2018'!$M$45</definedName>
    <definedName name="QB_FORMULA_4" localSheetId="18" hidden="1">'Mar 2018'!$K$39,'Mar 2018'!$M$39,'Mar 2018'!$K$40,'Mar 2018'!$M$40,'Mar 2018'!$K$41,'Mar 2018'!$M$41,'Mar 2018'!$K$42,'Mar 2018'!$M$42,'Mar 2018'!$K$43,'Mar 2018'!$M$43,'Mar 2018'!$G$44,'Mar 2018'!$I$44,'Mar 2018'!$K$44,'Mar 2018'!$M$44,'Mar 2018'!$K$45,'Mar 2018'!$M$45</definedName>
    <definedName name="QB_FORMULA_4" localSheetId="21" hidden="1">'Oct 2017'!$K$39,'Oct 2017'!$M$39,'Oct 2017'!$K$40,'Oct 2017'!$M$40,'Oct 2017'!$K$41,'Oct 2017'!$M$41,'Oct 2017'!$K$42,'Oct 2017'!$M$42,'Oct 2017'!$K$43,'Oct 2017'!$M$43,'Oct 2017'!$G$44,'Oct 2017'!$I$44,'Oct 2017'!$K$44,'Oct 2017'!$M$44,'Oct 2017'!$K$45,'Oct 2017'!$M$45</definedName>
    <definedName name="QB_FORMULA_4" localSheetId="22" hidden="1">'Sept 2017'!$K$39,'Sept 2017'!$M$39,'Sept 2017'!$K$40,'Sept 2017'!$M$40,'Sept 2017'!$K$41,'Sept 2017'!$M$41,'Sept 2017'!$K$42,'Sept 2017'!$M$42,'Sept 2017'!$K$43,'Sept 2017'!$M$43,'Sept 2017'!$G$44,'Sept 2017'!$I$44,'Sept 2017'!$K$44,'Sept 2017'!$M$44,'Sept 2017'!$K$45,'Sept 2017'!$M$45</definedName>
    <definedName name="QB_FORMULA_5" localSheetId="17" hidden="1">'April 2018'!$G$46,'April 2018'!$I$46,'April 2018'!$K$46,'April 2018'!$M$46,'April 2018'!$G$47,'April 2018'!$I$47,'April 2018'!$K$47,'April 2018'!$M$47,'April 2018'!$K$49,'April 2018'!$M$49,'April 2018'!$G$50,'April 2018'!$I$50,'April 2018'!$K$50,'April 2018'!$M$50,'April 2018'!$K$52,'April 2018'!$M$52</definedName>
    <definedName name="QB_FORMULA_5" localSheetId="19" hidden="1">'Feb 2018'!$G$46,'Feb 2018'!$I$46,'Feb 2018'!$K$46,'Feb 2018'!$M$46,'Feb 2018'!$G$47,'Feb 2018'!$I$47,'Feb 2018'!$K$47,'Feb 2018'!$M$47,'Feb 2018'!$K$49,'Feb 2018'!$M$49,'Feb 2018'!$G$50,'Feb 2018'!$I$50,'Feb 2018'!$K$50,'Feb 2018'!$M$50,'Feb 2018'!$K$52,'Feb 2018'!$M$52</definedName>
    <definedName name="QB_FORMULA_5" localSheetId="20" hidden="1">'Jan 2018'!$G$46,'Jan 2018'!$I$46,'Jan 2018'!$K$46,'Jan 2018'!$M$46,'Jan 2018'!$G$47,'Jan 2018'!$I$47,'Jan 2018'!$K$47,'Jan 2018'!$M$47,'Jan 2018'!$K$49,'Jan 2018'!$M$49,'Jan 2018'!$G$50,'Jan 2018'!$I$50,'Jan 2018'!$K$50,'Jan 2018'!$M$50,'Jan 2018'!$K$52,'Jan 2018'!$M$52</definedName>
    <definedName name="QB_FORMULA_5" localSheetId="18" hidden="1">'Mar 2018'!$G$46,'Mar 2018'!$I$46,'Mar 2018'!$K$46,'Mar 2018'!$M$46,'Mar 2018'!$G$47,'Mar 2018'!$I$47,'Mar 2018'!$K$47,'Mar 2018'!$M$47,'Mar 2018'!$K$49,'Mar 2018'!$M$49,'Mar 2018'!$G$50,'Mar 2018'!$I$50,'Mar 2018'!$K$50,'Mar 2018'!$M$50,'Mar 2018'!$K$52,'Mar 2018'!$M$52</definedName>
    <definedName name="QB_FORMULA_5" localSheetId="21" hidden="1">'Oct 2017'!$G$46,'Oct 2017'!$I$46,'Oct 2017'!$K$46,'Oct 2017'!$M$46,'Oct 2017'!$G$47,'Oct 2017'!$I$47,'Oct 2017'!$K$47,'Oct 2017'!$M$47,'Oct 2017'!$K$49,'Oct 2017'!$M$49,'Oct 2017'!$G$50,'Oct 2017'!$I$50,'Oct 2017'!$K$50,'Oct 2017'!$M$50,'Oct 2017'!$K$52,'Oct 2017'!$M$52</definedName>
    <definedName name="QB_FORMULA_5" localSheetId="22" hidden="1">'Sept 2017'!$G$46,'Sept 2017'!$I$46,'Sept 2017'!$K$46,'Sept 2017'!$M$46,'Sept 2017'!$G$47,'Sept 2017'!$I$47,'Sept 2017'!$K$47,'Sept 2017'!$M$47,'Sept 2017'!$K$49,'Sept 2017'!$M$49,'Sept 2017'!$G$50,'Sept 2017'!$I$50,'Sept 2017'!$K$50,'Sept 2017'!$M$50,'Sept 2017'!$K$52,'Sept 2017'!$M$52</definedName>
    <definedName name="QB_FORMULA_6" localSheetId="17" hidden="1">'April 2018'!$G$53,'April 2018'!$I$53,'April 2018'!$K$53,'April 2018'!$M$53,'April 2018'!$K$54,'April 2018'!$M$54,'April 2018'!$K$56,'April 2018'!$M$56,'April 2018'!$K$57,'April 2018'!$M$57,'April 2018'!$G$58,'April 2018'!$I$58,'April 2018'!$K$58,'April 2018'!$M$58,'April 2018'!$K$60,'April 2018'!$M$60</definedName>
    <definedName name="QB_FORMULA_6" localSheetId="19" hidden="1">'Feb 2018'!$G$53,'Feb 2018'!$I$53,'Feb 2018'!$K$53,'Feb 2018'!$M$53,'Feb 2018'!$K$54,'Feb 2018'!$M$54,'Feb 2018'!$K$56,'Feb 2018'!$M$56,'Feb 2018'!$K$57,'Feb 2018'!$M$57,'Feb 2018'!$G$58,'Feb 2018'!$I$58,'Feb 2018'!$K$58,'Feb 2018'!$M$58,'Feb 2018'!$K$60,'Feb 2018'!$M$60</definedName>
    <definedName name="QB_FORMULA_6" localSheetId="20" hidden="1">'Jan 2018'!$G$53,'Jan 2018'!$I$53,'Jan 2018'!$K$53,'Jan 2018'!$M$53,'Jan 2018'!$K$54,'Jan 2018'!$M$54,'Jan 2018'!$K$56,'Jan 2018'!$M$56,'Jan 2018'!$K$57,'Jan 2018'!$M$57,'Jan 2018'!$G$58,'Jan 2018'!$I$58,'Jan 2018'!$K$58,'Jan 2018'!$M$58,'Jan 2018'!$K$60,'Jan 2018'!$M$60</definedName>
    <definedName name="QB_FORMULA_6" localSheetId="18" hidden="1">'Mar 2018'!$G$53,'Mar 2018'!$I$53,'Mar 2018'!$K$53,'Mar 2018'!$M$53,'Mar 2018'!$K$54,'Mar 2018'!$M$54,'Mar 2018'!$K$56,'Mar 2018'!$M$56,'Mar 2018'!$K$57,'Mar 2018'!$M$57,'Mar 2018'!$G$58,'Mar 2018'!$I$58,'Mar 2018'!$K$58,'Mar 2018'!$M$58,'Mar 2018'!$K$60,'Mar 2018'!$M$60</definedName>
    <definedName name="QB_FORMULA_6" localSheetId="21" hidden="1">'Oct 2017'!$G$53,'Oct 2017'!$I$53,'Oct 2017'!$K$53,'Oct 2017'!$M$53,'Oct 2017'!$K$54,'Oct 2017'!$M$54,'Oct 2017'!$K$56,'Oct 2017'!$M$56,'Oct 2017'!$K$57,'Oct 2017'!$M$57,'Oct 2017'!$G$58,'Oct 2017'!$I$58,'Oct 2017'!$K$58,'Oct 2017'!$M$58,'Oct 2017'!$K$60,'Oct 2017'!$M$60</definedName>
    <definedName name="QB_FORMULA_6" localSheetId="22" hidden="1">'Sept 2017'!$G$53,'Sept 2017'!$I$53,'Sept 2017'!$K$53,'Sept 2017'!$M$53,'Sept 2017'!$K$54,'Sept 2017'!$M$54,'Sept 2017'!$K$56,'Sept 2017'!$M$56,'Sept 2017'!$K$57,'Sept 2017'!$M$57,'Sept 2017'!$G$58,'Sept 2017'!$I$58,'Sept 2017'!$K$58,'Sept 2017'!$M$58,'Sept 2017'!$K$60,'Sept 2017'!$M$60</definedName>
    <definedName name="QB_FORMULA_7" localSheetId="17" hidden="1">'April 2018'!$K$61,'April 2018'!$M$61,'April 2018'!$G$62,'April 2018'!$I$62,'April 2018'!$K$62,'April 2018'!$M$62,'April 2018'!$G$63,'April 2018'!$I$63,'April 2018'!$K$63,'April 2018'!$M$63,'April 2018'!$K$65,'April 2018'!$M$65,'April 2018'!$K$66,'April 2018'!$M$66,'April 2018'!$K$67,'April 2018'!$M$67</definedName>
    <definedName name="QB_FORMULA_7" localSheetId="19" hidden="1">'Feb 2018'!$K$61,'Feb 2018'!$M$61,'Feb 2018'!$G$62,'Feb 2018'!$I$62,'Feb 2018'!$K$62,'Feb 2018'!$M$62,'Feb 2018'!$G$63,'Feb 2018'!$I$63,'Feb 2018'!$K$63,'Feb 2018'!$M$63,'Feb 2018'!$K$65,'Feb 2018'!$M$65,'Feb 2018'!$K$66,'Feb 2018'!$M$66,'Feb 2018'!$K$67,'Feb 2018'!$M$67</definedName>
    <definedName name="QB_FORMULA_7" localSheetId="20" hidden="1">'Jan 2018'!$K$61,'Jan 2018'!$M$61,'Jan 2018'!$G$62,'Jan 2018'!$I$62,'Jan 2018'!$K$62,'Jan 2018'!$M$62,'Jan 2018'!$G$63,'Jan 2018'!$I$63,'Jan 2018'!$K$63,'Jan 2018'!$M$63,'Jan 2018'!$K$65,'Jan 2018'!$M$65,'Jan 2018'!$K$66,'Jan 2018'!$M$66,'Jan 2018'!$K$67,'Jan 2018'!$M$67</definedName>
    <definedName name="QB_FORMULA_7" localSheetId="18" hidden="1">'Mar 2018'!$K$61,'Mar 2018'!$M$61,'Mar 2018'!$G$62,'Mar 2018'!$I$62,'Mar 2018'!$K$62,'Mar 2018'!$M$62,'Mar 2018'!$G$63,'Mar 2018'!$I$63,'Mar 2018'!$K$63,'Mar 2018'!$M$63,'Mar 2018'!$K$65,'Mar 2018'!$M$65,'Mar 2018'!$K$66,'Mar 2018'!$M$66,'Mar 2018'!$K$67,'Mar 2018'!$M$67</definedName>
    <definedName name="QB_FORMULA_7" localSheetId="21" hidden="1">'Oct 2017'!$K$61,'Oct 2017'!$M$61,'Oct 2017'!$G$62,'Oct 2017'!$I$62,'Oct 2017'!$K$62,'Oct 2017'!$M$62,'Oct 2017'!$G$63,'Oct 2017'!$I$63,'Oct 2017'!$K$63,'Oct 2017'!$M$63,'Oct 2017'!$K$65,'Oct 2017'!$M$65,'Oct 2017'!$K$66,'Oct 2017'!$M$66,'Oct 2017'!$K$67,'Oct 2017'!$M$67</definedName>
    <definedName name="QB_FORMULA_7" localSheetId="22" hidden="1">'Sept 2017'!$K$61,'Sept 2017'!$M$61,'Sept 2017'!$G$62,'Sept 2017'!$I$62,'Sept 2017'!$K$62,'Sept 2017'!$M$62,'Sept 2017'!$G$63,'Sept 2017'!$I$63,'Sept 2017'!$K$63,'Sept 2017'!$M$63,'Sept 2017'!$K$65,'Sept 2017'!$M$65,'Sept 2017'!$K$66,'Sept 2017'!$M$66,'Sept 2017'!$K$67,'Sept 2017'!$M$67</definedName>
    <definedName name="QB_FORMULA_8" localSheetId="17" hidden="1">'April 2018'!$K$68,'April 2018'!$M$68,'April 2018'!$K$69,'April 2018'!$M$69,'April 2018'!$K$71,'April 2018'!$M$71,'April 2018'!$K$72,'April 2018'!$M$72,'April 2018'!$G$73,'April 2018'!$I$73,'April 2018'!$K$73,'April 2018'!$M$73,'April 2018'!$K$74,'April 2018'!$M$74,'April 2018'!$K$76,'April 2018'!$M$76</definedName>
    <definedName name="QB_FORMULA_8" localSheetId="19" hidden="1">'Feb 2018'!$K$68,'Feb 2018'!$M$68,'Feb 2018'!$K$69,'Feb 2018'!$M$69,'Feb 2018'!$K$71,'Feb 2018'!$M$71,'Feb 2018'!$K$72,'Feb 2018'!$M$72,'Feb 2018'!$G$73,'Feb 2018'!$I$73,'Feb 2018'!$K$73,'Feb 2018'!$M$73,'Feb 2018'!$K$74,'Feb 2018'!$M$74,'Feb 2018'!$K$76,'Feb 2018'!$M$76</definedName>
    <definedName name="QB_FORMULA_8" localSheetId="20" hidden="1">'Jan 2018'!$K$68,'Jan 2018'!$M$68,'Jan 2018'!$K$69,'Jan 2018'!$M$69,'Jan 2018'!$K$71,'Jan 2018'!$M$71,'Jan 2018'!$K$72,'Jan 2018'!$M$72,'Jan 2018'!$G$73,'Jan 2018'!$I$73,'Jan 2018'!$K$73,'Jan 2018'!$M$73,'Jan 2018'!$K$74,'Jan 2018'!$M$74,'Jan 2018'!$K$76,'Jan 2018'!$M$76</definedName>
    <definedName name="QB_FORMULA_8" localSheetId="18" hidden="1">'Mar 2018'!$K$68,'Mar 2018'!$M$68,'Mar 2018'!$K$69,'Mar 2018'!$M$69,'Mar 2018'!$K$71,'Mar 2018'!$M$71,'Mar 2018'!$K$72,'Mar 2018'!$M$72,'Mar 2018'!$G$73,'Mar 2018'!$I$73,'Mar 2018'!$K$73,'Mar 2018'!$M$73,'Mar 2018'!$K$74,'Mar 2018'!$M$74,'Mar 2018'!$K$76,'Mar 2018'!$M$76</definedName>
    <definedName name="QB_FORMULA_8" localSheetId="21" hidden="1">'Oct 2017'!$K$68,'Oct 2017'!$M$68,'Oct 2017'!$K$69,'Oct 2017'!$M$69,'Oct 2017'!$K$71,'Oct 2017'!$M$71,'Oct 2017'!$K$72,'Oct 2017'!$M$72,'Oct 2017'!$G$73,'Oct 2017'!$I$73,'Oct 2017'!$K$73,'Oct 2017'!$M$73,'Oct 2017'!$K$74,'Oct 2017'!$M$74,'Oct 2017'!$K$76,'Oct 2017'!$M$76</definedName>
    <definedName name="QB_FORMULA_8" localSheetId="22" hidden="1">'Sept 2017'!$K$68,'Sept 2017'!$M$68,'Sept 2017'!$K$69,'Sept 2017'!$M$69,'Sept 2017'!$K$71,'Sept 2017'!$M$71,'Sept 2017'!$K$72,'Sept 2017'!$M$72,'Sept 2017'!$G$73,'Sept 2017'!$I$73,'Sept 2017'!$K$73,'Sept 2017'!$M$73,'Sept 2017'!$K$74,'Sept 2017'!$M$74,'Sept 2017'!$K$76,'Sept 2017'!$M$76</definedName>
    <definedName name="QB_FORMULA_9" localSheetId="17" hidden="1">'April 2018'!$K$77,'April 2018'!$M$77,'April 2018'!$K$78,'April 2018'!$M$78,'April 2018'!$G$79,'April 2018'!$I$79,'April 2018'!$K$79,'April 2018'!$M$79,'April 2018'!$K$80,'April 2018'!$M$80,'April 2018'!$G$81,'April 2018'!$I$81,'April 2018'!$K$81,'April 2018'!$M$81,'April 2018'!$G$82,'April 2018'!$I$82</definedName>
    <definedName name="QB_FORMULA_9" localSheetId="19" hidden="1">'Feb 2018'!$K$77,'Feb 2018'!$M$77,'Feb 2018'!$K$78,'Feb 2018'!$M$78,'Feb 2018'!$G$79,'Feb 2018'!$I$79,'Feb 2018'!$K$79,'Feb 2018'!$M$79,'Feb 2018'!$K$80,'Feb 2018'!$M$80,'Feb 2018'!$G$81,'Feb 2018'!$I$81,'Feb 2018'!$K$81,'Feb 2018'!$M$81,'Feb 2018'!$G$82,'Feb 2018'!$I$82</definedName>
    <definedName name="QB_FORMULA_9" localSheetId="20" hidden="1">'Jan 2018'!$K$77,'Jan 2018'!$M$77,'Jan 2018'!$K$78,'Jan 2018'!$M$78,'Jan 2018'!$G$79,'Jan 2018'!$I$79,'Jan 2018'!$K$79,'Jan 2018'!$M$79,'Jan 2018'!$K$80,'Jan 2018'!$M$80,'Jan 2018'!$G$81,'Jan 2018'!$I$81,'Jan 2018'!$K$81,'Jan 2018'!$M$81,'Jan 2018'!$G$82,'Jan 2018'!$I$82</definedName>
    <definedName name="QB_FORMULA_9" localSheetId="18" hidden="1">'Mar 2018'!$K$77,'Mar 2018'!$M$77,'Mar 2018'!$K$78,'Mar 2018'!$M$78,'Mar 2018'!$G$79,'Mar 2018'!$I$79,'Mar 2018'!$K$79,'Mar 2018'!$M$79,'Mar 2018'!$K$80,'Mar 2018'!$M$80,'Mar 2018'!$G$81,'Mar 2018'!$I$81,'Mar 2018'!$K$81,'Mar 2018'!$M$81,'Mar 2018'!$G$82,'Mar 2018'!$I$82</definedName>
    <definedName name="QB_FORMULA_9" localSheetId="21" hidden="1">'Oct 2017'!$K$77,'Oct 2017'!$M$77,'Oct 2017'!$K$78,'Oct 2017'!$M$78,'Oct 2017'!$G$79,'Oct 2017'!$I$79,'Oct 2017'!$K$79,'Oct 2017'!$M$79,'Oct 2017'!$K$80,'Oct 2017'!$M$80,'Oct 2017'!$G$81,'Oct 2017'!$I$81,'Oct 2017'!$K$81,'Oct 2017'!$M$81,'Oct 2017'!$G$82,'Oct 2017'!$I$82</definedName>
    <definedName name="QB_FORMULA_9" localSheetId="22" hidden="1">'Sept 2017'!$K$77,'Sept 2017'!$M$77,'Sept 2017'!$K$78,'Sept 2017'!$M$78,'Sept 2017'!$G$79,'Sept 2017'!$I$79,'Sept 2017'!$K$79,'Sept 2017'!$M$79,'Sept 2017'!$K$80,'Sept 2017'!$M$80,'Sept 2017'!$G$81,'Sept 2017'!$I$81,'Sept 2017'!$K$81,'Sept 2017'!$M$81,'Sept 2017'!$G$82,'Sept 2017'!$I$82</definedName>
    <definedName name="QB_ROW_10020" localSheetId="17" hidden="1">'April 2018'!$C$4</definedName>
    <definedName name="QB_ROW_10020" localSheetId="19" hidden="1">'Feb 2018'!$C$4</definedName>
    <definedName name="QB_ROW_10020" localSheetId="20" hidden="1">'Jan 2018'!$C$4</definedName>
    <definedName name="QB_ROW_10020" localSheetId="18" hidden="1">'Mar 2018'!$C$4</definedName>
    <definedName name="QB_ROW_10020" localSheetId="21" hidden="1">'Oct 2017'!$C$4</definedName>
    <definedName name="QB_ROW_10020" localSheetId="22" hidden="1">'Sept 2017'!$C$4</definedName>
    <definedName name="QB_ROW_101230" localSheetId="17" hidden="1">'April 2018'!$D$71</definedName>
    <definedName name="QB_ROW_101230" localSheetId="19" hidden="1">'Feb 2018'!$D$71</definedName>
    <definedName name="QB_ROW_101230" localSheetId="20" hidden="1">'Jan 2018'!$D$71</definedName>
    <definedName name="QB_ROW_101230" localSheetId="18" hidden="1">'Mar 2018'!$D$71</definedName>
    <definedName name="QB_ROW_101230" localSheetId="21" hidden="1">'Oct 2017'!$D$71</definedName>
    <definedName name="QB_ROW_101230" localSheetId="22" hidden="1">'Sept 2017'!$D$71</definedName>
    <definedName name="QB_ROW_10320" localSheetId="17" hidden="1">'April 2018'!$C$7</definedName>
    <definedName name="QB_ROW_10320" localSheetId="19" hidden="1">'Feb 2018'!$C$7</definedName>
    <definedName name="QB_ROW_10320" localSheetId="20" hidden="1">'Jan 2018'!$C$7</definedName>
    <definedName name="QB_ROW_10320" localSheetId="18" hidden="1">'Mar 2018'!$C$7</definedName>
    <definedName name="QB_ROW_10320" localSheetId="21" hidden="1">'Oct 2017'!$C$7</definedName>
    <definedName name="QB_ROW_10320" localSheetId="22" hidden="1">'Sept 2017'!$C$7</definedName>
    <definedName name="QB_ROW_110230" localSheetId="17" hidden="1">'April 2018'!$D$76</definedName>
    <definedName name="QB_ROW_110230" localSheetId="19" hidden="1">'Feb 2018'!$D$76</definedName>
    <definedName name="QB_ROW_110230" localSheetId="20" hidden="1">'Jan 2018'!$D$76</definedName>
    <definedName name="QB_ROW_110230" localSheetId="18" hidden="1">'Mar 2018'!$D$76</definedName>
    <definedName name="QB_ROW_110230" localSheetId="21" hidden="1">'Oct 2017'!$D$76</definedName>
    <definedName name="QB_ROW_110230" localSheetId="22" hidden="1">'Sept 2017'!$D$76</definedName>
    <definedName name="QB_ROW_11230" localSheetId="17" hidden="1">'April 2018'!$D$5</definedName>
    <definedName name="QB_ROW_11230" localSheetId="19" hidden="1">'Feb 2018'!$D$5</definedName>
    <definedName name="QB_ROW_11230" localSheetId="20" hidden="1">'Jan 2018'!$D$5</definedName>
    <definedName name="QB_ROW_11230" localSheetId="18" hidden="1">'Mar 2018'!$D$5</definedName>
    <definedName name="QB_ROW_11230" localSheetId="21" hidden="1">'Oct 2017'!$D$5</definedName>
    <definedName name="QB_ROW_11230" localSheetId="22" hidden="1">'Sept 2017'!$D$5</definedName>
    <definedName name="QB_ROW_113250" localSheetId="17" hidden="1">'April 2018'!$F$35</definedName>
    <definedName name="QB_ROW_113250" localSheetId="19" hidden="1">'Feb 2018'!$F$35</definedName>
    <definedName name="QB_ROW_113250" localSheetId="20" hidden="1">'Jan 2018'!$F$35</definedName>
    <definedName name="QB_ROW_113250" localSheetId="18" hidden="1">'Mar 2018'!$F$35</definedName>
    <definedName name="QB_ROW_113250" localSheetId="21" hidden="1">'Oct 2017'!$F$35</definedName>
    <definedName name="QB_ROW_113250" localSheetId="22" hidden="1">'Sept 2017'!$F$35</definedName>
    <definedName name="QB_ROW_114250" localSheetId="17" hidden="1">'April 2018'!$F$34</definedName>
    <definedName name="QB_ROW_114250" localSheetId="19" hidden="1">'Feb 2018'!$F$34</definedName>
    <definedName name="QB_ROW_114250" localSheetId="20" hidden="1">'Jan 2018'!$F$34</definedName>
    <definedName name="QB_ROW_114250" localSheetId="18" hidden="1">'Mar 2018'!$F$34</definedName>
    <definedName name="QB_ROW_114250" localSheetId="21" hidden="1">'Oct 2017'!$F$34</definedName>
    <definedName name="QB_ROW_114250" localSheetId="22" hidden="1">'Sept 2017'!$F$34</definedName>
    <definedName name="QB_ROW_117230" localSheetId="17" hidden="1">'April 2018'!$D$78</definedName>
    <definedName name="QB_ROW_117230" localSheetId="19" hidden="1">'Feb 2018'!$D$78</definedName>
    <definedName name="QB_ROW_117230" localSheetId="20" hidden="1">'Jan 2018'!$D$78</definedName>
    <definedName name="QB_ROW_117230" localSheetId="18" hidden="1">'Mar 2018'!$D$78</definedName>
    <definedName name="QB_ROW_117230" localSheetId="21" hidden="1">'Oct 2017'!$D$78</definedName>
    <definedName name="QB_ROW_117230" localSheetId="22" hidden="1">'Sept 2017'!$D$78</definedName>
    <definedName name="QB_ROW_118250" localSheetId="17" hidden="1">'April 2018'!$F$40</definedName>
    <definedName name="QB_ROW_118250" localSheetId="19" hidden="1">'Feb 2018'!$F$40</definedName>
    <definedName name="QB_ROW_118250" localSheetId="20" hidden="1">'Jan 2018'!$F$40</definedName>
    <definedName name="QB_ROW_118250" localSheetId="18" hidden="1">'Mar 2018'!$F$40</definedName>
    <definedName name="QB_ROW_118250" localSheetId="21" hidden="1">'Oct 2017'!$F$40</definedName>
    <definedName name="QB_ROW_118250" localSheetId="22" hidden="1">'Sept 2017'!$F$40</definedName>
    <definedName name="QB_ROW_119250" localSheetId="17" hidden="1">'April 2018'!$F$39</definedName>
    <definedName name="QB_ROW_119250" localSheetId="19" hidden="1">'Feb 2018'!$F$39</definedName>
    <definedName name="QB_ROW_119250" localSheetId="20" hidden="1">'Jan 2018'!$F$39</definedName>
    <definedName name="QB_ROW_119250" localSheetId="18" hidden="1">'Mar 2018'!$F$39</definedName>
    <definedName name="QB_ROW_119250" localSheetId="21" hidden="1">'Oct 2017'!$F$39</definedName>
    <definedName name="QB_ROW_119250" localSheetId="22" hidden="1">'Sept 2017'!$F$39</definedName>
    <definedName name="QB_ROW_120250" localSheetId="17" hidden="1">'April 2018'!$F$42</definedName>
    <definedName name="QB_ROW_120250" localSheetId="19" hidden="1">'Feb 2018'!$F$42</definedName>
    <definedName name="QB_ROW_120250" localSheetId="20" hidden="1">'Jan 2018'!$F$42</definedName>
    <definedName name="QB_ROW_120250" localSheetId="18" hidden="1">'Mar 2018'!$F$42</definedName>
    <definedName name="QB_ROW_120250" localSheetId="21" hidden="1">'Oct 2017'!$F$42</definedName>
    <definedName name="QB_ROW_120250" localSheetId="22" hidden="1">'Sept 2017'!$F$42</definedName>
    <definedName name="QB_ROW_121250" localSheetId="17" hidden="1">'April 2018'!$F$41</definedName>
    <definedName name="QB_ROW_121250" localSheetId="19" hidden="1">'Feb 2018'!$F$41</definedName>
    <definedName name="QB_ROW_121250" localSheetId="20" hidden="1">'Jan 2018'!$F$41</definedName>
    <definedName name="QB_ROW_121250" localSheetId="18" hidden="1">'Mar 2018'!$F$41</definedName>
    <definedName name="QB_ROW_121250" localSheetId="21" hidden="1">'Oct 2017'!$F$41</definedName>
    <definedName name="QB_ROW_121250" localSheetId="22" hidden="1">'Sept 2017'!$F$41</definedName>
    <definedName name="QB_ROW_12230" localSheetId="17" hidden="1">'April 2018'!$D$6</definedName>
    <definedName name="QB_ROW_12230" localSheetId="19" hidden="1">'Feb 2018'!$D$6</definedName>
    <definedName name="QB_ROW_12230" localSheetId="20" hidden="1">'Jan 2018'!$D$6</definedName>
    <definedName name="QB_ROW_12230" localSheetId="18" hidden="1">'Mar 2018'!$D$6</definedName>
    <definedName name="QB_ROW_12230" localSheetId="21" hidden="1">'Oct 2017'!$D$6</definedName>
    <definedName name="QB_ROW_12230" localSheetId="22" hidden="1">'Sept 2017'!$D$6</definedName>
    <definedName name="QB_ROW_123230" localSheetId="17" hidden="1">'April 2018'!$D$72</definedName>
    <definedName name="QB_ROW_123230" localSheetId="19" hidden="1">'Feb 2018'!$D$72</definedName>
    <definedName name="QB_ROW_123230" localSheetId="20" hidden="1">'Jan 2018'!$D$72</definedName>
    <definedName name="QB_ROW_123230" localSheetId="18" hidden="1">'Mar 2018'!$D$72</definedName>
    <definedName name="QB_ROW_123230" localSheetId="21" hidden="1">'Oct 2017'!$D$72</definedName>
    <definedName name="QB_ROW_123230" localSheetId="22" hidden="1">'Sept 2017'!$D$72</definedName>
    <definedName name="QB_ROW_133020" localSheetId="17" hidden="1">'April 2018'!$C$51</definedName>
    <definedName name="QB_ROW_133020" localSheetId="19" hidden="1">'Feb 2018'!$C$51</definedName>
    <definedName name="QB_ROW_133020" localSheetId="20" hidden="1">'Jan 2018'!$C$51</definedName>
    <definedName name="QB_ROW_133020" localSheetId="18" hidden="1">'Mar 2018'!$C$51</definedName>
    <definedName name="QB_ROW_133020" localSheetId="21" hidden="1">'Oct 2017'!$C$51</definedName>
    <definedName name="QB_ROW_133020" localSheetId="22" hidden="1">'Sept 2017'!$C$51</definedName>
    <definedName name="QB_ROW_133320" localSheetId="17" hidden="1">'April 2018'!$C$53</definedName>
    <definedName name="QB_ROW_133320" localSheetId="19" hidden="1">'Feb 2018'!$C$53</definedName>
    <definedName name="QB_ROW_133320" localSheetId="20" hidden="1">'Jan 2018'!$C$53</definedName>
    <definedName name="QB_ROW_133320" localSheetId="18" hidden="1">'Mar 2018'!$C$53</definedName>
    <definedName name="QB_ROW_133320" localSheetId="21" hidden="1">'Oct 2017'!$C$53</definedName>
    <definedName name="QB_ROW_133320" localSheetId="22" hidden="1">'Sept 2017'!$C$53</definedName>
    <definedName name="QB_ROW_134230" localSheetId="17" hidden="1">'April 2018'!$D$52</definedName>
    <definedName name="QB_ROW_134230" localSheetId="19" hidden="1">'Feb 2018'!$D$52</definedName>
    <definedName name="QB_ROW_134230" localSheetId="20" hidden="1">'Jan 2018'!$D$52</definedName>
    <definedName name="QB_ROW_134230" localSheetId="18" hidden="1">'Mar 2018'!$D$52</definedName>
    <definedName name="QB_ROW_134230" localSheetId="21" hidden="1">'Oct 2017'!$D$52</definedName>
    <definedName name="QB_ROW_134230" localSheetId="22" hidden="1">'Sept 2017'!$D$52</definedName>
    <definedName name="QB_ROW_136220" localSheetId="17" hidden="1">'April 2018'!$C$8</definedName>
    <definedName name="QB_ROW_136220" localSheetId="19" hidden="1">'Feb 2018'!$C$8</definedName>
    <definedName name="QB_ROW_136220" localSheetId="20" hidden="1">'Jan 2018'!$C$8</definedName>
    <definedName name="QB_ROW_136220" localSheetId="18" hidden="1">'Mar 2018'!$C$8</definedName>
    <definedName name="QB_ROW_136220" localSheetId="21" hidden="1">'Oct 2017'!$C$8</definedName>
    <definedName name="QB_ROW_136220" localSheetId="22" hidden="1">'Sept 2017'!$C$8</definedName>
    <definedName name="QB_ROW_138220" localSheetId="17" hidden="1">'April 2018'!$C$54</definedName>
    <definedName name="QB_ROW_138220" localSheetId="19" hidden="1">'Feb 2018'!$C$54</definedName>
    <definedName name="QB_ROW_138220" localSheetId="20" hidden="1">'Jan 2018'!$C$54</definedName>
    <definedName name="QB_ROW_138220" localSheetId="18" hidden="1">'Mar 2018'!$C$54</definedName>
    <definedName name="QB_ROW_138220" localSheetId="21" hidden="1">'Oct 2017'!$C$54</definedName>
    <definedName name="QB_ROW_138220" localSheetId="22" hidden="1">'Sept 2017'!$C$54</definedName>
    <definedName name="QB_ROW_139030" localSheetId="17" hidden="1">'April 2018'!$D$32</definedName>
    <definedName name="QB_ROW_139030" localSheetId="19" hidden="1">'Feb 2018'!$D$32</definedName>
    <definedName name="QB_ROW_139030" localSheetId="20" hidden="1">'Jan 2018'!$D$32</definedName>
    <definedName name="QB_ROW_139030" localSheetId="18" hidden="1">'Mar 2018'!$D$32</definedName>
    <definedName name="QB_ROW_139030" localSheetId="21" hidden="1">'Oct 2017'!$D$32</definedName>
    <definedName name="QB_ROW_139030" localSheetId="22" hidden="1">'Sept 2017'!$D$32</definedName>
    <definedName name="QB_ROW_139240" localSheetId="17" hidden="1">'April 2018'!$E$45</definedName>
    <definedName name="QB_ROW_139240" localSheetId="19" hidden="1">'Feb 2018'!$E$45</definedName>
    <definedName name="QB_ROW_139240" localSheetId="20" hidden="1">'Jan 2018'!$E$45</definedName>
    <definedName name="QB_ROW_139240" localSheetId="18" hidden="1">'Mar 2018'!$E$45</definedName>
    <definedName name="QB_ROW_139240" localSheetId="21" hidden="1">'Oct 2017'!$E$45</definedName>
    <definedName name="QB_ROW_139240" localSheetId="22" hidden="1">'Sept 2017'!$E$45</definedName>
    <definedName name="QB_ROW_139330" localSheetId="17" hidden="1">'April 2018'!$D$46</definedName>
    <definedName name="QB_ROW_139330" localSheetId="19" hidden="1">'Feb 2018'!$D$46</definedName>
    <definedName name="QB_ROW_139330" localSheetId="20" hidden="1">'Jan 2018'!$D$46</definedName>
    <definedName name="QB_ROW_139330" localSheetId="18" hidden="1">'Mar 2018'!$D$46</definedName>
    <definedName name="QB_ROW_139330" localSheetId="21" hidden="1">'Oct 2017'!$D$46</definedName>
    <definedName name="QB_ROW_139330" localSheetId="22" hidden="1">'Sept 2017'!$D$46</definedName>
    <definedName name="QB_ROW_140040" localSheetId="17" hidden="1">'April 2018'!$E$22</definedName>
    <definedName name="QB_ROW_140040" localSheetId="19" hidden="1">'Feb 2018'!$E$22</definedName>
    <definedName name="QB_ROW_140040" localSheetId="20" hidden="1">'Jan 2018'!$E$22</definedName>
    <definedName name="QB_ROW_140040" localSheetId="18" hidden="1">'Mar 2018'!$E$22</definedName>
    <definedName name="QB_ROW_140040" localSheetId="21" hidden="1">'Oct 2017'!$E$22</definedName>
    <definedName name="QB_ROW_140040" localSheetId="22" hidden="1">'Sept 2017'!$E$22</definedName>
    <definedName name="QB_ROW_140340" localSheetId="17" hidden="1">'April 2018'!$E$25</definedName>
    <definedName name="QB_ROW_140340" localSheetId="19" hidden="1">'Feb 2018'!$E$25</definedName>
    <definedName name="QB_ROW_140340" localSheetId="20" hidden="1">'Jan 2018'!$E$25</definedName>
    <definedName name="QB_ROW_140340" localSheetId="18" hidden="1">'Mar 2018'!$E$25</definedName>
    <definedName name="QB_ROW_140340" localSheetId="21" hidden="1">'Oct 2017'!$E$25</definedName>
    <definedName name="QB_ROW_140340" localSheetId="22" hidden="1">'Sept 2017'!$E$25</definedName>
    <definedName name="QB_ROW_141030" localSheetId="17" hidden="1">'April 2018'!$D$21</definedName>
    <definedName name="QB_ROW_141030" localSheetId="19" hidden="1">'Feb 2018'!$D$21</definedName>
    <definedName name="QB_ROW_141030" localSheetId="20" hidden="1">'Jan 2018'!$D$21</definedName>
    <definedName name="QB_ROW_141030" localSheetId="18" hidden="1">'Mar 2018'!$D$21</definedName>
    <definedName name="QB_ROW_141030" localSheetId="21" hidden="1">'Oct 2017'!$D$21</definedName>
    <definedName name="QB_ROW_141030" localSheetId="22" hidden="1">'Sept 2017'!$D$21</definedName>
    <definedName name="QB_ROW_141240" localSheetId="17" hidden="1">'April 2018'!$E$30</definedName>
    <definedName name="QB_ROW_141240" localSheetId="19" hidden="1">'Feb 2018'!$E$30</definedName>
    <definedName name="QB_ROW_141240" localSheetId="20" hidden="1">'Jan 2018'!$E$30</definedName>
    <definedName name="QB_ROW_141240" localSheetId="18" hidden="1">'Mar 2018'!$E$30</definedName>
    <definedName name="QB_ROW_141240" localSheetId="21" hidden="1">'Oct 2017'!$E$30</definedName>
    <definedName name="QB_ROW_141240" localSheetId="22" hidden="1">'Sept 2017'!$E$30</definedName>
    <definedName name="QB_ROW_141330" localSheetId="17" hidden="1">'April 2018'!$D$31</definedName>
    <definedName name="QB_ROW_141330" localSheetId="19" hidden="1">'Feb 2018'!$D$31</definedName>
    <definedName name="QB_ROW_141330" localSheetId="20" hidden="1">'Jan 2018'!$D$31</definedName>
    <definedName name="QB_ROW_141330" localSheetId="18" hidden="1">'Mar 2018'!$D$31</definedName>
    <definedName name="QB_ROW_141330" localSheetId="21" hidden="1">'Oct 2017'!$D$31</definedName>
    <definedName name="QB_ROW_141330" localSheetId="22" hidden="1">'Sept 2017'!$D$31</definedName>
    <definedName name="QB_ROW_18301" localSheetId="17" hidden="1">'April 2018'!$A$82</definedName>
    <definedName name="QB_ROW_18301" localSheetId="19" hidden="1">'Feb 2018'!$A$82</definedName>
    <definedName name="QB_ROW_18301" localSheetId="20" hidden="1">'Jan 2018'!$A$82</definedName>
    <definedName name="QB_ROW_18301" localSheetId="18" hidden="1">'Mar 2018'!$A$82</definedName>
    <definedName name="QB_ROW_18301" localSheetId="21" hidden="1">'Oct 2017'!$A$82</definedName>
    <definedName name="QB_ROW_18301" localSheetId="22" hidden="1">'Sept 2017'!$A$82</definedName>
    <definedName name="QB_ROW_19220" localSheetId="17" hidden="1">'April 2018'!$C$10</definedName>
    <definedName name="QB_ROW_19220" localSheetId="19" hidden="1">'Feb 2018'!$C$10</definedName>
    <definedName name="QB_ROW_19220" localSheetId="20" hidden="1">'Jan 2018'!$C$10</definedName>
    <definedName name="QB_ROW_19220" localSheetId="18" hidden="1">'Mar 2018'!$C$10</definedName>
    <definedName name="QB_ROW_19220" localSheetId="21" hidden="1">'Oct 2017'!$C$10</definedName>
    <definedName name="QB_ROW_19220" localSheetId="22" hidden="1">'Sept 2017'!$C$10</definedName>
    <definedName name="QB_ROW_20012" localSheetId="17" hidden="1">'April 2018'!$B$3</definedName>
    <definedName name="QB_ROW_20012" localSheetId="19" hidden="1">'Feb 2018'!$B$3</definedName>
    <definedName name="QB_ROW_20012" localSheetId="20" hidden="1">'Jan 2018'!$B$3</definedName>
    <definedName name="QB_ROW_20012" localSheetId="18" hidden="1">'Mar 2018'!$B$3</definedName>
    <definedName name="QB_ROW_20012" localSheetId="21" hidden="1">'Oct 2017'!$B$3</definedName>
    <definedName name="QB_ROW_20012" localSheetId="22" hidden="1">'Sept 2017'!$B$3</definedName>
    <definedName name="QB_ROW_20312" localSheetId="17" hidden="1">'April 2018'!$B$63</definedName>
    <definedName name="QB_ROW_20312" localSheetId="19" hidden="1">'Feb 2018'!$B$63</definedName>
    <definedName name="QB_ROW_20312" localSheetId="20" hidden="1">'Jan 2018'!$B$63</definedName>
    <definedName name="QB_ROW_20312" localSheetId="18" hidden="1">'Mar 2018'!$B$63</definedName>
    <definedName name="QB_ROW_20312" localSheetId="21" hidden="1">'Oct 2017'!$B$63</definedName>
    <definedName name="QB_ROW_20312" localSheetId="22" hidden="1">'Sept 2017'!$B$63</definedName>
    <definedName name="QB_ROW_21012" localSheetId="17" hidden="1">'April 2018'!$B$64</definedName>
    <definedName name="QB_ROW_21012" localSheetId="19" hidden="1">'Feb 2018'!$B$64</definedName>
    <definedName name="QB_ROW_21012" localSheetId="20" hidden="1">'Jan 2018'!$B$64</definedName>
    <definedName name="QB_ROW_21012" localSheetId="18" hidden="1">'Mar 2018'!$B$64</definedName>
    <definedName name="QB_ROW_21012" localSheetId="21" hidden="1">'Oct 2017'!$B$64</definedName>
    <definedName name="QB_ROW_21012" localSheetId="22" hidden="1">'Sept 2017'!$B$64</definedName>
    <definedName name="QB_ROW_21312" localSheetId="17" hidden="1">'April 2018'!$B$81</definedName>
    <definedName name="QB_ROW_21312" localSheetId="19" hidden="1">'Feb 2018'!$B$81</definedName>
    <definedName name="QB_ROW_21312" localSheetId="20" hidden="1">'Jan 2018'!$B$81</definedName>
    <definedName name="QB_ROW_21312" localSheetId="18" hidden="1">'Mar 2018'!$B$81</definedName>
    <definedName name="QB_ROW_21312" localSheetId="21" hidden="1">'Oct 2017'!$B$81</definedName>
    <definedName name="QB_ROW_21312" localSheetId="22" hidden="1">'Sept 2017'!$B$81</definedName>
    <definedName name="QB_ROW_26020" localSheetId="17" hidden="1">'April 2018'!$C$11</definedName>
    <definedName name="QB_ROW_26020" localSheetId="19" hidden="1">'Feb 2018'!$C$11</definedName>
    <definedName name="QB_ROW_26020" localSheetId="20" hidden="1">'Jan 2018'!$C$11</definedName>
    <definedName name="QB_ROW_26020" localSheetId="18" hidden="1">'Mar 2018'!$C$11</definedName>
    <definedName name="QB_ROW_26020" localSheetId="21" hidden="1">'Oct 2017'!$C$11</definedName>
    <definedName name="QB_ROW_26020" localSheetId="22" hidden="1">'Sept 2017'!$C$11</definedName>
    <definedName name="QB_ROW_26320" localSheetId="17" hidden="1">'April 2018'!$C$16</definedName>
    <definedName name="QB_ROW_26320" localSheetId="19" hidden="1">'Feb 2018'!$C$16</definedName>
    <definedName name="QB_ROW_26320" localSheetId="20" hidden="1">'Jan 2018'!$C$16</definedName>
    <definedName name="QB_ROW_26320" localSheetId="18" hidden="1">'Mar 2018'!$C$16</definedName>
    <definedName name="QB_ROW_26320" localSheetId="21" hidden="1">'Oct 2017'!$C$16</definedName>
    <definedName name="QB_ROW_26320" localSheetId="22" hidden="1">'Sept 2017'!$C$16</definedName>
    <definedName name="QB_ROW_27230" localSheetId="17" hidden="1">'April 2018'!$D$12</definedName>
    <definedName name="QB_ROW_27230" localSheetId="19" hidden="1">'Feb 2018'!$D$12</definedName>
    <definedName name="QB_ROW_27230" localSheetId="20" hidden="1">'Jan 2018'!$D$12</definedName>
    <definedName name="QB_ROW_27230" localSheetId="18" hidden="1">'Mar 2018'!$D$12</definedName>
    <definedName name="QB_ROW_27230" localSheetId="21" hidden="1">'Oct 2017'!$D$12</definedName>
    <definedName name="QB_ROW_27230" localSheetId="22" hidden="1">'Sept 2017'!$D$12</definedName>
    <definedName name="QB_ROW_28230" localSheetId="17" hidden="1">'April 2018'!$D$13</definedName>
    <definedName name="QB_ROW_28230" localSheetId="19" hidden="1">'Feb 2018'!$D$13</definedName>
    <definedName name="QB_ROW_28230" localSheetId="20" hidden="1">'Jan 2018'!$D$13</definedName>
    <definedName name="QB_ROW_28230" localSheetId="18" hidden="1">'Mar 2018'!$D$13</definedName>
    <definedName name="QB_ROW_28230" localSheetId="21" hidden="1">'Oct 2017'!$D$13</definedName>
    <definedName name="QB_ROW_28230" localSheetId="22" hidden="1">'Sept 2017'!$D$13</definedName>
    <definedName name="QB_ROW_29220" localSheetId="17" hidden="1">'April 2018'!$C$18</definedName>
    <definedName name="QB_ROW_29220" localSheetId="19" hidden="1">'Feb 2018'!$C$18</definedName>
    <definedName name="QB_ROW_29220" localSheetId="20" hidden="1">'Jan 2018'!$C$18</definedName>
    <definedName name="QB_ROW_29220" localSheetId="18" hidden="1">'Mar 2018'!$C$18</definedName>
    <definedName name="QB_ROW_29220" localSheetId="21" hidden="1">'Oct 2017'!$C$18</definedName>
    <definedName name="QB_ROW_29220" localSheetId="22" hidden="1">'Sept 2017'!$C$18</definedName>
    <definedName name="QB_ROW_30020" localSheetId="17" hidden="1">'April 2018'!$C$19</definedName>
    <definedName name="QB_ROW_30020" localSheetId="19" hidden="1">'Feb 2018'!$C$19</definedName>
    <definedName name="QB_ROW_30020" localSheetId="20" hidden="1">'Jan 2018'!$C$19</definedName>
    <definedName name="QB_ROW_30020" localSheetId="18" hidden="1">'Mar 2018'!$C$19</definedName>
    <definedName name="QB_ROW_30020" localSheetId="21" hidden="1">'Oct 2017'!$C$19</definedName>
    <definedName name="QB_ROW_30020" localSheetId="22" hidden="1">'Sept 2017'!$C$19</definedName>
    <definedName name="QB_ROW_30320" localSheetId="17" hidden="1">'April 2018'!$C$47</definedName>
    <definedName name="QB_ROW_30320" localSheetId="19" hidden="1">'Feb 2018'!$C$47</definedName>
    <definedName name="QB_ROW_30320" localSheetId="20" hidden="1">'Jan 2018'!$C$47</definedName>
    <definedName name="QB_ROW_30320" localSheetId="18" hidden="1">'Mar 2018'!$C$47</definedName>
    <definedName name="QB_ROW_30320" localSheetId="21" hidden="1">'Oct 2017'!$C$47</definedName>
    <definedName name="QB_ROW_30320" localSheetId="22" hidden="1">'Sept 2017'!$C$47</definedName>
    <definedName name="QB_ROW_31250" localSheetId="17" hidden="1">'April 2018'!$F$23</definedName>
    <definedName name="QB_ROW_31250" localSheetId="19" hidden="1">'Feb 2018'!$F$23</definedName>
    <definedName name="QB_ROW_31250" localSheetId="20" hidden="1">'Jan 2018'!$F$23</definedName>
    <definedName name="QB_ROW_31250" localSheetId="18" hidden="1">'Mar 2018'!$F$23</definedName>
    <definedName name="QB_ROW_31250" localSheetId="21" hidden="1">'Oct 2017'!$F$23</definedName>
    <definedName name="QB_ROW_31250" localSheetId="22" hidden="1">'Sept 2017'!$F$23</definedName>
    <definedName name="QB_ROW_32250" localSheetId="17" hidden="1">'April 2018'!$F$24</definedName>
    <definedName name="QB_ROW_32250" localSheetId="19" hidden="1">'Feb 2018'!$F$24</definedName>
    <definedName name="QB_ROW_32250" localSheetId="20" hidden="1">'Jan 2018'!$F$24</definedName>
    <definedName name="QB_ROW_32250" localSheetId="18" hidden="1">'Mar 2018'!$F$24</definedName>
    <definedName name="QB_ROW_32250" localSheetId="21" hidden="1">'Oct 2017'!$F$24</definedName>
    <definedName name="QB_ROW_32250" localSheetId="22" hidden="1">'Sept 2017'!$F$24</definedName>
    <definedName name="QB_ROW_36020" localSheetId="17" hidden="1">'April 2018'!$C$48</definedName>
    <definedName name="QB_ROW_36020" localSheetId="19" hidden="1">'Feb 2018'!$C$48</definedName>
    <definedName name="QB_ROW_36020" localSheetId="20" hidden="1">'Jan 2018'!$C$48</definedName>
    <definedName name="QB_ROW_36020" localSheetId="18" hidden="1">'Mar 2018'!$C$48</definedName>
    <definedName name="QB_ROW_36020" localSheetId="21" hidden="1">'Oct 2017'!$C$48</definedName>
    <definedName name="QB_ROW_36020" localSheetId="22" hidden="1">'Sept 2017'!$C$48</definedName>
    <definedName name="QB_ROW_36320" localSheetId="17" hidden="1">'April 2018'!$C$50</definedName>
    <definedName name="QB_ROW_36320" localSheetId="19" hidden="1">'Feb 2018'!$C$50</definedName>
    <definedName name="QB_ROW_36320" localSheetId="20" hidden="1">'Jan 2018'!$C$50</definedName>
    <definedName name="QB_ROW_36320" localSheetId="18" hidden="1">'Mar 2018'!$C$50</definedName>
    <definedName name="QB_ROW_36320" localSheetId="21" hidden="1">'Oct 2017'!$C$50</definedName>
    <definedName name="QB_ROW_36320" localSheetId="22" hidden="1">'Sept 2017'!$C$50</definedName>
    <definedName name="QB_ROW_38230" localSheetId="17" hidden="1">'April 2018'!$D$49</definedName>
    <definedName name="QB_ROW_38230" localSheetId="19" hidden="1">'Feb 2018'!$D$49</definedName>
    <definedName name="QB_ROW_38230" localSheetId="20" hidden="1">'Jan 2018'!$D$49</definedName>
    <definedName name="QB_ROW_38230" localSheetId="18" hidden="1">'Mar 2018'!$D$49</definedName>
    <definedName name="QB_ROW_38230" localSheetId="21" hidden="1">'Oct 2017'!$D$49</definedName>
    <definedName name="QB_ROW_38230" localSheetId="22" hidden="1">'Sept 2017'!$D$49</definedName>
    <definedName name="QB_ROW_39020" localSheetId="17" hidden="1">'April 2018'!$C$55</definedName>
    <definedName name="QB_ROW_39020" localSheetId="19" hidden="1">'Feb 2018'!$C$55</definedName>
    <definedName name="QB_ROW_39020" localSheetId="20" hidden="1">'Jan 2018'!$C$55</definedName>
    <definedName name="QB_ROW_39020" localSheetId="18" hidden="1">'Mar 2018'!$C$55</definedName>
    <definedName name="QB_ROW_39020" localSheetId="21" hidden="1">'Oct 2017'!$C$55</definedName>
    <definedName name="QB_ROW_39020" localSheetId="22" hidden="1">'Sept 2017'!$C$55</definedName>
    <definedName name="QB_ROW_39320" localSheetId="17" hidden="1">'April 2018'!$C$58</definedName>
    <definedName name="QB_ROW_39320" localSheetId="19" hidden="1">'Feb 2018'!$C$58</definedName>
    <definedName name="QB_ROW_39320" localSheetId="20" hidden="1">'Jan 2018'!$C$58</definedName>
    <definedName name="QB_ROW_39320" localSheetId="18" hidden="1">'Mar 2018'!$C$58</definedName>
    <definedName name="QB_ROW_39320" localSheetId="21" hidden="1">'Oct 2017'!$C$58</definedName>
    <definedName name="QB_ROW_39320" localSheetId="22" hidden="1">'Sept 2017'!$C$58</definedName>
    <definedName name="QB_ROW_40230" localSheetId="17" hidden="1">'April 2018'!$D$56</definedName>
    <definedName name="QB_ROW_40230" localSheetId="19" hidden="1">'Feb 2018'!$D$56</definedName>
    <definedName name="QB_ROW_40230" localSheetId="20" hidden="1">'Jan 2018'!$D$56</definedName>
    <definedName name="QB_ROW_40230" localSheetId="18" hidden="1">'Mar 2018'!$D$56</definedName>
    <definedName name="QB_ROW_40230" localSheetId="21" hidden="1">'Oct 2017'!$D$56</definedName>
    <definedName name="QB_ROW_40230" localSheetId="22" hidden="1">'Sept 2017'!$D$56</definedName>
    <definedName name="QB_ROW_41230" localSheetId="17" hidden="1">'April 2018'!$D$57</definedName>
    <definedName name="QB_ROW_41230" localSheetId="19" hidden="1">'Feb 2018'!$D$57</definedName>
    <definedName name="QB_ROW_41230" localSheetId="20" hidden="1">'Jan 2018'!$D$57</definedName>
    <definedName name="QB_ROW_41230" localSheetId="18" hidden="1">'Mar 2018'!$D$57</definedName>
    <definedName name="QB_ROW_41230" localSheetId="21" hidden="1">'Oct 2017'!$D$57</definedName>
    <definedName name="QB_ROW_41230" localSheetId="22" hidden="1">'Sept 2017'!$D$57</definedName>
    <definedName name="QB_ROW_42320" localSheetId="17" hidden="1">'April 2018'!$C$80</definedName>
    <definedName name="QB_ROW_42320" localSheetId="19" hidden="1">'Feb 2018'!$C$80</definedName>
    <definedName name="QB_ROW_42320" localSheetId="20" hidden="1">'Jan 2018'!$C$80</definedName>
    <definedName name="QB_ROW_42320" localSheetId="18" hidden="1">'Mar 2018'!$C$80</definedName>
    <definedName name="QB_ROW_42320" localSheetId="21" hidden="1">'Oct 2017'!$C$80</definedName>
    <definedName name="QB_ROW_42320" localSheetId="22" hidden="1">'Sept 2017'!$C$80</definedName>
    <definedName name="QB_ROW_44320" localSheetId="17" hidden="1">'April 2018'!$C$65</definedName>
    <definedName name="QB_ROW_44320" localSheetId="19" hidden="1">'Feb 2018'!$C$65</definedName>
    <definedName name="QB_ROW_44320" localSheetId="20" hidden="1">'Jan 2018'!$C$65</definedName>
    <definedName name="QB_ROW_44320" localSheetId="18" hidden="1">'Mar 2018'!$C$65</definedName>
    <definedName name="QB_ROW_44320" localSheetId="21" hidden="1">'Oct 2017'!$C$65</definedName>
    <definedName name="QB_ROW_44320" localSheetId="22" hidden="1">'Sept 2017'!$C$65</definedName>
    <definedName name="QB_ROW_52020" localSheetId="17" hidden="1">'April 2018'!$C$75</definedName>
    <definedName name="QB_ROW_52020" localSheetId="19" hidden="1">'Feb 2018'!$C$75</definedName>
    <definedName name="QB_ROW_52020" localSheetId="20" hidden="1">'Jan 2018'!$C$75</definedName>
    <definedName name="QB_ROW_52020" localSheetId="18" hidden="1">'Mar 2018'!$C$75</definedName>
    <definedName name="QB_ROW_52020" localSheetId="21" hidden="1">'Oct 2017'!$C$75</definedName>
    <definedName name="QB_ROW_52020" localSheetId="22" hidden="1">'Sept 2017'!$C$75</definedName>
    <definedName name="QB_ROW_52320" localSheetId="17" hidden="1">'April 2018'!$C$79</definedName>
    <definedName name="QB_ROW_52320" localSheetId="19" hidden="1">'Feb 2018'!$C$79</definedName>
    <definedName name="QB_ROW_52320" localSheetId="20" hidden="1">'Jan 2018'!$C$79</definedName>
    <definedName name="QB_ROW_52320" localSheetId="18" hidden="1">'Mar 2018'!$C$79</definedName>
    <definedName name="QB_ROW_52320" localSheetId="21" hidden="1">'Oct 2017'!$C$79</definedName>
    <definedName name="QB_ROW_52320" localSheetId="22" hidden="1">'Sept 2017'!$C$79</definedName>
    <definedName name="QB_ROW_53220" localSheetId="17" hidden="1">'April 2018'!$C$74</definedName>
    <definedName name="QB_ROW_53220" localSheetId="19" hidden="1">'Feb 2018'!$C$74</definedName>
    <definedName name="QB_ROW_53220" localSheetId="20" hidden="1">'Jan 2018'!$C$74</definedName>
    <definedName name="QB_ROW_53220" localSheetId="18" hidden="1">'Mar 2018'!$C$74</definedName>
    <definedName name="QB_ROW_53220" localSheetId="21" hidden="1">'Oct 2017'!$C$74</definedName>
    <definedName name="QB_ROW_53220" localSheetId="22" hidden="1">'Sept 2017'!$C$74</definedName>
    <definedName name="QB_ROW_57230" localSheetId="17" hidden="1">'April 2018'!$D$15</definedName>
    <definedName name="QB_ROW_57230" localSheetId="19" hidden="1">'Feb 2018'!$D$15</definedName>
    <definedName name="QB_ROW_57230" localSheetId="20" hidden="1">'Jan 2018'!$D$15</definedName>
    <definedName name="QB_ROW_57230" localSheetId="18" hidden="1">'Mar 2018'!$D$15</definedName>
    <definedName name="QB_ROW_57230" localSheetId="21" hidden="1">'Oct 2017'!$D$15</definedName>
    <definedName name="QB_ROW_57230" localSheetId="22" hidden="1">'Sept 2017'!$D$15</definedName>
    <definedName name="QB_ROW_63020" localSheetId="17" hidden="1">'April 2018'!$C$59</definedName>
    <definedName name="QB_ROW_63020" localSheetId="19" hidden="1">'Feb 2018'!$C$59</definedName>
    <definedName name="QB_ROW_63020" localSheetId="20" hidden="1">'Jan 2018'!$C$59</definedName>
    <definedName name="QB_ROW_63020" localSheetId="18" hidden="1">'Mar 2018'!$C$59</definedName>
    <definedName name="QB_ROW_63020" localSheetId="21" hidden="1">'Oct 2017'!$C$59</definedName>
    <definedName name="QB_ROW_63020" localSheetId="22" hidden="1">'Sept 2017'!$C$59</definedName>
    <definedName name="QB_ROW_63320" localSheetId="17" hidden="1">'April 2018'!$C$62</definedName>
    <definedName name="QB_ROW_63320" localSheetId="19" hidden="1">'Feb 2018'!$C$62</definedName>
    <definedName name="QB_ROW_63320" localSheetId="20" hidden="1">'Jan 2018'!$C$62</definedName>
    <definedName name="QB_ROW_63320" localSheetId="18" hidden="1">'Mar 2018'!$C$62</definedName>
    <definedName name="QB_ROW_63320" localSheetId="21" hidden="1">'Oct 2017'!$C$62</definedName>
    <definedName name="QB_ROW_63320" localSheetId="22" hidden="1">'Sept 2017'!$C$62</definedName>
    <definedName name="QB_ROW_64230" localSheetId="17" hidden="1">'April 2018'!$D$60</definedName>
    <definedName name="QB_ROW_64230" localSheetId="19" hidden="1">'Feb 2018'!$D$60</definedName>
    <definedName name="QB_ROW_64230" localSheetId="20" hidden="1">'Jan 2018'!$D$60</definedName>
    <definedName name="QB_ROW_64230" localSheetId="18" hidden="1">'Mar 2018'!$D$60</definedName>
    <definedName name="QB_ROW_64230" localSheetId="21" hidden="1">'Oct 2017'!$D$60</definedName>
    <definedName name="QB_ROW_64230" localSheetId="22" hidden="1">'Sept 2017'!$D$60</definedName>
    <definedName name="QB_ROW_65230" localSheetId="17" hidden="1">'April 2018'!$D$61</definedName>
    <definedName name="QB_ROW_65230" localSheetId="19" hidden="1">'Feb 2018'!$D$61</definedName>
    <definedName name="QB_ROW_65230" localSheetId="20" hidden="1">'Jan 2018'!$D$61</definedName>
    <definedName name="QB_ROW_65230" localSheetId="18" hidden="1">'Mar 2018'!$D$61</definedName>
    <definedName name="QB_ROW_65230" localSheetId="21" hidden="1">'Oct 2017'!$D$61</definedName>
    <definedName name="QB_ROW_65230" localSheetId="22" hidden="1">'Sept 2017'!$D$61</definedName>
    <definedName name="QB_ROW_68230" localSheetId="17" hidden="1">'April 2018'!$D$20</definedName>
    <definedName name="QB_ROW_68230" localSheetId="19" hidden="1">'Feb 2018'!$D$20</definedName>
    <definedName name="QB_ROW_68230" localSheetId="20" hidden="1">'Jan 2018'!$D$20</definedName>
    <definedName name="QB_ROW_68230" localSheetId="18" hidden="1">'Mar 2018'!$D$20</definedName>
    <definedName name="QB_ROW_68230" localSheetId="21" hidden="1">'Oct 2017'!$D$20</definedName>
    <definedName name="QB_ROW_68230" localSheetId="22" hidden="1">'Sept 2017'!$D$20</definedName>
    <definedName name="QB_ROW_69230" localSheetId="17" hidden="1">'April 2018'!$D$14</definedName>
    <definedName name="QB_ROW_69230" localSheetId="19" hidden="1">'Feb 2018'!$D$14</definedName>
    <definedName name="QB_ROW_69230" localSheetId="20" hidden="1">'Jan 2018'!$D$14</definedName>
    <definedName name="QB_ROW_69230" localSheetId="18" hidden="1">'Mar 2018'!$D$14</definedName>
    <definedName name="QB_ROW_69230" localSheetId="21" hidden="1">'Oct 2017'!$D$14</definedName>
    <definedName name="QB_ROW_69230" localSheetId="22" hidden="1">'Sept 2017'!$D$14</definedName>
    <definedName name="QB_ROW_70220" localSheetId="17" hidden="1">'April 2018'!$C$68</definedName>
    <definedName name="QB_ROW_70220" localSheetId="19" hidden="1">'Feb 2018'!$C$68</definedName>
    <definedName name="QB_ROW_70220" localSheetId="20" hidden="1">'Jan 2018'!$C$68</definedName>
    <definedName name="QB_ROW_70220" localSheetId="18" hidden="1">'Mar 2018'!$C$68</definedName>
    <definedName name="QB_ROW_70220" localSheetId="21" hidden="1">'Oct 2017'!$C$68</definedName>
    <definedName name="QB_ROW_70220" localSheetId="22" hidden="1">'Sept 2017'!$C$68</definedName>
    <definedName name="QB_ROW_71020" localSheetId="17" hidden="1">'April 2018'!$C$70</definedName>
    <definedName name="QB_ROW_71020" localSheetId="19" hidden="1">'Feb 2018'!$C$70</definedName>
    <definedName name="QB_ROW_71020" localSheetId="20" hidden="1">'Jan 2018'!$C$70</definedName>
    <definedName name="QB_ROW_71020" localSheetId="18" hidden="1">'Mar 2018'!$C$70</definedName>
    <definedName name="QB_ROW_71020" localSheetId="21" hidden="1">'Oct 2017'!$C$70</definedName>
    <definedName name="QB_ROW_71020" localSheetId="22" hidden="1">'Sept 2017'!$C$70</definedName>
    <definedName name="QB_ROW_71320" localSheetId="17" hidden="1">'April 2018'!$C$73</definedName>
    <definedName name="QB_ROW_71320" localSheetId="19" hidden="1">'Feb 2018'!$C$73</definedName>
    <definedName name="QB_ROW_71320" localSheetId="20" hidden="1">'Jan 2018'!$C$73</definedName>
    <definedName name="QB_ROW_71320" localSheetId="18" hidden="1">'Mar 2018'!$C$73</definedName>
    <definedName name="QB_ROW_71320" localSheetId="21" hidden="1">'Oct 2017'!$C$73</definedName>
    <definedName name="QB_ROW_71320" localSheetId="22" hidden="1">'Sept 2017'!$C$73</definedName>
    <definedName name="QB_ROW_72220" localSheetId="17" hidden="1">'April 2018'!$C$17</definedName>
    <definedName name="QB_ROW_72220" localSheetId="19" hidden="1">'Feb 2018'!$C$17</definedName>
    <definedName name="QB_ROW_72220" localSheetId="20" hidden="1">'Jan 2018'!$C$17</definedName>
    <definedName name="QB_ROW_72220" localSheetId="18" hidden="1">'Mar 2018'!$C$17</definedName>
    <definedName name="QB_ROW_72220" localSheetId="21" hidden="1">'Oct 2017'!$C$17</definedName>
    <definedName name="QB_ROW_72220" localSheetId="22" hidden="1">'Sept 2017'!$C$17</definedName>
    <definedName name="QB_ROW_75040" localSheetId="17" hidden="1">'April 2018'!$E$38</definedName>
    <definedName name="QB_ROW_75040" localSheetId="19" hidden="1">'Feb 2018'!$E$38</definedName>
    <definedName name="QB_ROW_75040" localSheetId="20" hidden="1">'Jan 2018'!$E$38</definedName>
    <definedName name="QB_ROW_75040" localSheetId="18" hidden="1">'Mar 2018'!$E$38</definedName>
    <definedName name="QB_ROW_75040" localSheetId="21" hidden="1">'Oct 2017'!$E$38</definedName>
    <definedName name="QB_ROW_75040" localSheetId="22" hidden="1">'Sept 2017'!$E$38</definedName>
    <definedName name="QB_ROW_75250" localSheetId="17" hidden="1">'April 2018'!$F$43</definedName>
    <definedName name="QB_ROW_75250" localSheetId="19" hidden="1">'Feb 2018'!$F$43</definedName>
    <definedName name="QB_ROW_75250" localSheetId="20" hidden="1">'Jan 2018'!$F$43</definedName>
    <definedName name="QB_ROW_75250" localSheetId="18" hidden="1">'Mar 2018'!$F$43</definedName>
    <definedName name="QB_ROW_75250" localSheetId="21" hidden="1">'Oct 2017'!$F$43</definedName>
    <definedName name="QB_ROW_75250" localSheetId="22" hidden="1">'Sept 2017'!$F$43</definedName>
    <definedName name="QB_ROW_75340" localSheetId="17" hidden="1">'April 2018'!$E$44</definedName>
    <definedName name="QB_ROW_75340" localSheetId="19" hidden="1">'Feb 2018'!$E$44</definedName>
    <definedName name="QB_ROW_75340" localSheetId="20" hidden="1">'Jan 2018'!$E$44</definedName>
    <definedName name="QB_ROW_75340" localSheetId="18" hidden="1">'Mar 2018'!$E$44</definedName>
    <definedName name="QB_ROW_75340" localSheetId="21" hidden="1">'Oct 2017'!$E$44</definedName>
    <definedName name="QB_ROW_75340" localSheetId="22" hidden="1">'Sept 2017'!$E$44</definedName>
    <definedName name="QB_ROW_76040" localSheetId="17" hidden="1">'April 2018'!$E$33</definedName>
    <definedName name="QB_ROW_76040" localSheetId="19" hidden="1">'Feb 2018'!$E$33</definedName>
    <definedName name="QB_ROW_76040" localSheetId="20" hidden="1">'Jan 2018'!$E$33</definedName>
    <definedName name="QB_ROW_76040" localSheetId="18" hidden="1">'Mar 2018'!$E$33</definedName>
    <definedName name="QB_ROW_76040" localSheetId="21" hidden="1">'Oct 2017'!$E$33</definedName>
    <definedName name="QB_ROW_76040" localSheetId="22" hidden="1">'Sept 2017'!$E$33</definedName>
    <definedName name="QB_ROW_76250" localSheetId="17" hidden="1">'April 2018'!$F$36</definedName>
    <definedName name="QB_ROW_76250" localSheetId="19" hidden="1">'Feb 2018'!$F$36</definedName>
    <definedName name="QB_ROW_76250" localSheetId="20" hidden="1">'Jan 2018'!$F$36</definedName>
    <definedName name="QB_ROW_76250" localSheetId="18" hidden="1">'Mar 2018'!$F$36</definedName>
    <definedName name="QB_ROW_76250" localSheetId="21" hidden="1">'Oct 2017'!$F$36</definedName>
    <definedName name="QB_ROW_76250" localSheetId="22" hidden="1">'Sept 2017'!$F$36</definedName>
    <definedName name="QB_ROW_76340" localSheetId="17" hidden="1">'April 2018'!$E$37</definedName>
    <definedName name="QB_ROW_76340" localSheetId="19" hidden="1">'Feb 2018'!$E$37</definedName>
    <definedName name="QB_ROW_76340" localSheetId="20" hidden="1">'Jan 2018'!$E$37</definedName>
    <definedName name="QB_ROW_76340" localSheetId="18" hidden="1">'Mar 2018'!$E$37</definedName>
    <definedName name="QB_ROW_76340" localSheetId="21" hidden="1">'Oct 2017'!$E$37</definedName>
    <definedName name="QB_ROW_76340" localSheetId="22" hidden="1">'Sept 2017'!$E$37</definedName>
    <definedName name="QB_ROW_78230" localSheetId="17" hidden="1">'April 2018'!$D$77</definedName>
    <definedName name="QB_ROW_78230" localSheetId="19" hidden="1">'Feb 2018'!$D$77</definedName>
    <definedName name="QB_ROW_78230" localSheetId="20" hidden="1">'Jan 2018'!$D$77</definedName>
    <definedName name="QB_ROW_78230" localSheetId="18" hidden="1">'Mar 2018'!$D$77</definedName>
    <definedName name="QB_ROW_78230" localSheetId="21" hidden="1">'Oct 2017'!$D$77</definedName>
    <definedName name="QB_ROW_78230" localSheetId="22" hidden="1">'Sept 2017'!$D$77</definedName>
    <definedName name="QB_ROW_80220" localSheetId="17" hidden="1">'April 2018'!$C$67</definedName>
    <definedName name="QB_ROW_80220" localSheetId="19" hidden="1">'Feb 2018'!$C$67</definedName>
    <definedName name="QB_ROW_80220" localSheetId="20" hidden="1">'Jan 2018'!$C$67</definedName>
    <definedName name="QB_ROW_80220" localSheetId="18" hidden="1">'Mar 2018'!$C$67</definedName>
    <definedName name="QB_ROW_80220" localSheetId="21" hidden="1">'Oct 2017'!$C$67</definedName>
    <definedName name="QB_ROW_80220" localSheetId="22" hidden="1">'Sept 2017'!$C$67</definedName>
    <definedName name="QB_ROW_81250" localSheetId="17" hidden="1">'April 2018'!$F$27</definedName>
    <definedName name="QB_ROW_81250" localSheetId="19" hidden="1">'Feb 2018'!$F$27</definedName>
    <definedName name="QB_ROW_81250" localSheetId="20" hidden="1">'Jan 2018'!$F$27</definedName>
    <definedName name="QB_ROW_81250" localSheetId="18" hidden="1">'Mar 2018'!$F$27</definedName>
    <definedName name="QB_ROW_81250" localSheetId="21" hidden="1">'Oct 2017'!$F$27</definedName>
    <definedName name="QB_ROW_81250" localSheetId="22" hidden="1">'Sept 2017'!$F$27</definedName>
    <definedName name="QB_ROW_82250" localSheetId="17" hidden="1">'April 2018'!$F$28</definedName>
    <definedName name="QB_ROW_82250" localSheetId="19" hidden="1">'Feb 2018'!$F$28</definedName>
    <definedName name="QB_ROW_82250" localSheetId="20" hidden="1">'Jan 2018'!$F$28</definedName>
    <definedName name="QB_ROW_82250" localSheetId="18" hidden="1">'Mar 2018'!$F$28</definedName>
    <definedName name="QB_ROW_82250" localSheetId="21" hidden="1">'Oct 2017'!$F$28</definedName>
    <definedName name="QB_ROW_82250" localSheetId="22" hidden="1">'Sept 2017'!$F$28</definedName>
    <definedName name="QB_ROW_84220" localSheetId="17" hidden="1">'April 2018'!$C$66</definedName>
    <definedName name="QB_ROW_84220" localSheetId="19" hidden="1">'Feb 2018'!$C$66</definedName>
    <definedName name="QB_ROW_84220" localSheetId="20" hidden="1">'Jan 2018'!$C$66</definedName>
    <definedName name="QB_ROW_84220" localSheetId="18" hidden="1">'Mar 2018'!$C$66</definedName>
    <definedName name="QB_ROW_84220" localSheetId="21" hidden="1">'Oct 2017'!$C$66</definedName>
    <definedName name="QB_ROW_84220" localSheetId="22" hidden="1">'Sept 2017'!$C$66</definedName>
    <definedName name="QB_ROW_85040" localSheetId="17" hidden="1">'April 2018'!$E$26</definedName>
    <definedName name="QB_ROW_85040" localSheetId="19" hidden="1">'Feb 2018'!$E$26</definedName>
    <definedName name="QB_ROW_85040" localSheetId="20" hidden="1">'Jan 2018'!$E$26</definedName>
    <definedName name="QB_ROW_85040" localSheetId="18" hidden="1">'Mar 2018'!$E$26</definedName>
    <definedName name="QB_ROW_85040" localSheetId="21" hidden="1">'Oct 2017'!$E$26</definedName>
    <definedName name="QB_ROW_85040" localSheetId="22" hidden="1">'Sept 2017'!$E$26</definedName>
    <definedName name="QB_ROW_85340" localSheetId="17" hidden="1">'April 2018'!$E$29</definedName>
    <definedName name="QB_ROW_85340" localSheetId="19" hidden="1">'Feb 2018'!$E$29</definedName>
    <definedName name="QB_ROW_85340" localSheetId="20" hidden="1">'Jan 2018'!$E$29</definedName>
    <definedName name="QB_ROW_85340" localSheetId="18" hidden="1">'Mar 2018'!$E$29</definedName>
    <definedName name="QB_ROW_85340" localSheetId="21" hidden="1">'Oct 2017'!$E$29</definedName>
    <definedName name="QB_ROW_85340" localSheetId="22" hidden="1">'Sept 2017'!$E$29</definedName>
    <definedName name="QB_ROW_91220" localSheetId="17" hidden="1">'April 2018'!$C$69</definedName>
    <definedName name="QB_ROW_91220" localSheetId="19" hidden="1">'Feb 2018'!$C$69</definedName>
    <definedName name="QB_ROW_91220" localSheetId="20" hidden="1">'Jan 2018'!$C$69</definedName>
    <definedName name="QB_ROW_91220" localSheetId="18" hidden="1">'Mar 2018'!$C$69</definedName>
    <definedName name="QB_ROW_91220" localSheetId="21" hidden="1">'Oct 2017'!$C$69</definedName>
    <definedName name="QB_ROW_91220" localSheetId="22" hidden="1">'Sept 2017'!$C$69</definedName>
    <definedName name="QB_ROW_97220" localSheetId="17" hidden="1">'April 2018'!$C$9</definedName>
    <definedName name="QB_ROW_97220" localSheetId="19" hidden="1">'Feb 2018'!$C$9</definedName>
    <definedName name="QB_ROW_97220" localSheetId="20" hidden="1">'Jan 2018'!$C$9</definedName>
    <definedName name="QB_ROW_97220" localSheetId="18" hidden="1">'Mar 2018'!$C$9</definedName>
    <definedName name="QB_ROW_97220" localSheetId="21" hidden="1">'Oct 2017'!$C$9</definedName>
    <definedName name="QB_ROW_97220" localSheetId="22" hidden="1">'Sept 2017'!$C$9</definedName>
    <definedName name="QBCANSUPPORTUPDATE" localSheetId="17">TRUE</definedName>
    <definedName name="QBCANSUPPORTUPDATE" localSheetId="19">TRUE</definedName>
    <definedName name="QBCANSUPPORTUPDATE" localSheetId="20">TRUE</definedName>
    <definedName name="QBCANSUPPORTUPDATE" localSheetId="18">TRUE</definedName>
    <definedName name="QBCANSUPPORTUPDATE" localSheetId="21">TRUE</definedName>
    <definedName name="QBCANSUPPORTUPDATE" localSheetId="22">TRUE</definedName>
    <definedName name="QBCOMPANYFILENAME" localSheetId="17">"C:\Users\aolsen\Documents\Aimee Personal\WWS Tiger Paws Treasurer\QB\TIgerPaws.QBW"</definedName>
    <definedName name="QBCOMPANYFILENAME" localSheetId="19">"C:\Users\aolsen\Documents\Aimee Personal\WWS Tiger Paws Treasurer\QB\TIgerPaws.QBW"</definedName>
    <definedName name="QBCOMPANYFILENAME" localSheetId="20">"C:\Users\aolsen\Documents\Aimee Personal\WWS Tiger Paws Treasurer\QB\TIgerPaws.QBW"</definedName>
    <definedName name="QBCOMPANYFILENAME" localSheetId="18">"C:\Users\aolsen\Documents\Aimee Personal\WWS Tiger Paws Treasurer\QB\TIgerPaws.QBW"</definedName>
    <definedName name="QBCOMPANYFILENAME" localSheetId="21">"C:\Users\aolsen\Documents\Aimee Personal\WWS Tiger Paws Treasurer\QB\TIgerPaws.QBW"</definedName>
    <definedName name="QBCOMPANYFILENAME" localSheetId="22">"C:\Users\aolsen\Documents\Aimee Personal\WWS Tiger Paws Treasurer\QB\TIgerPaws.QBW"</definedName>
    <definedName name="QBENDDATE" localSheetId="17">20180630</definedName>
    <definedName name="QBENDDATE" localSheetId="19">20180630</definedName>
    <definedName name="QBENDDATE" localSheetId="20">20180630</definedName>
    <definedName name="QBENDDATE" localSheetId="18">20180630</definedName>
    <definedName name="QBENDDATE" localSheetId="21">20180630</definedName>
    <definedName name="QBENDDATE" localSheetId="22">20180630</definedName>
    <definedName name="QBHEADERSONSCREEN" localSheetId="17">FALSE</definedName>
    <definedName name="QBHEADERSONSCREEN" localSheetId="19">FALSE</definedName>
    <definedName name="QBHEADERSONSCREEN" localSheetId="20">FALSE</definedName>
    <definedName name="QBHEADERSONSCREEN" localSheetId="18">FALSE</definedName>
    <definedName name="QBHEADERSONSCREEN" localSheetId="21">FALSE</definedName>
    <definedName name="QBHEADERSONSCREEN" localSheetId="22">FALSE</definedName>
    <definedName name="QBMETADATASIZE" localSheetId="17">5907</definedName>
    <definedName name="QBMETADATASIZE" localSheetId="19">5907</definedName>
    <definedName name="QBMETADATASIZE" localSheetId="20">5907</definedName>
    <definedName name="QBMETADATASIZE" localSheetId="18">5907</definedName>
    <definedName name="QBMETADATASIZE" localSheetId="21">5907</definedName>
    <definedName name="QBMETADATASIZE" localSheetId="22">5907</definedName>
    <definedName name="QBPRESERVECOLOR" localSheetId="17">TRUE</definedName>
    <definedName name="QBPRESERVECOLOR" localSheetId="19">TRUE</definedName>
    <definedName name="QBPRESERVECOLOR" localSheetId="20">TRUE</definedName>
    <definedName name="QBPRESERVECOLOR" localSheetId="18">TRUE</definedName>
    <definedName name="QBPRESERVECOLOR" localSheetId="21">TRUE</definedName>
    <definedName name="QBPRESERVECOLOR" localSheetId="22">TRUE</definedName>
    <definedName name="QBPRESERVEFONT" localSheetId="17">TRUE</definedName>
    <definedName name="QBPRESERVEFONT" localSheetId="19">TRUE</definedName>
    <definedName name="QBPRESERVEFONT" localSheetId="20">TRUE</definedName>
    <definedName name="QBPRESERVEFONT" localSheetId="18">TRUE</definedName>
    <definedName name="QBPRESERVEFONT" localSheetId="21">TRUE</definedName>
    <definedName name="QBPRESERVEFONT" localSheetId="22">TRUE</definedName>
    <definedName name="QBPRESERVEROWHEIGHT" localSheetId="17">TRUE</definedName>
    <definedName name="QBPRESERVEROWHEIGHT" localSheetId="19">TRUE</definedName>
    <definedName name="QBPRESERVEROWHEIGHT" localSheetId="20">TRUE</definedName>
    <definedName name="QBPRESERVEROWHEIGHT" localSheetId="18">TRUE</definedName>
    <definedName name="QBPRESERVEROWHEIGHT" localSheetId="21">TRUE</definedName>
    <definedName name="QBPRESERVEROWHEIGHT" localSheetId="22">TRUE</definedName>
    <definedName name="QBPRESERVESPACE" localSheetId="17">TRUE</definedName>
    <definedName name="QBPRESERVESPACE" localSheetId="19">TRUE</definedName>
    <definedName name="QBPRESERVESPACE" localSheetId="20">TRUE</definedName>
    <definedName name="QBPRESERVESPACE" localSheetId="18">TRUE</definedName>
    <definedName name="QBPRESERVESPACE" localSheetId="21">TRUE</definedName>
    <definedName name="QBPRESERVESPACE" localSheetId="22">TRUE</definedName>
    <definedName name="QBREPORTCOLAXIS" localSheetId="17">0</definedName>
    <definedName name="QBREPORTCOLAXIS" localSheetId="19">0</definedName>
    <definedName name="QBREPORTCOLAXIS" localSheetId="20">0</definedName>
    <definedName name="QBREPORTCOLAXIS" localSheetId="18">0</definedName>
    <definedName name="QBREPORTCOLAXIS" localSheetId="21">0</definedName>
    <definedName name="QBREPORTCOLAXIS" localSheetId="22">0</definedName>
    <definedName name="QBREPORTCOMPANYID" localSheetId="17">"1f5e2cd64a9047769ceb64ea6aaba60f"</definedName>
    <definedName name="QBREPORTCOMPANYID" localSheetId="19">"1f5e2cd64a9047769ceb64ea6aaba60f"</definedName>
    <definedName name="QBREPORTCOMPANYID" localSheetId="20">"1f5e2cd64a9047769ceb64ea6aaba60f"</definedName>
    <definedName name="QBREPORTCOMPANYID" localSheetId="18">"1f5e2cd64a9047769ceb64ea6aaba60f"</definedName>
    <definedName name="QBREPORTCOMPANYID" localSheetId="21">"1f5e2cd64a9047769ceb64ea6aaba60f"</definedName>
    <definedName name="QBREPORTCOMPANYID" localSheetId="22">"1f5e2cd64a9047769ceb64ea6aaba60f"</definedName>
    <definedName name="QBREPORTCOMPARECOL_ANNUALBUDGET" localSheetId="17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18">FALSE</definedName>
    <definedName name="QBREPORTCOMPARECOL_ANNUALBUDGET" localSheetId="21">FALSE</definedName>
    <definedName name="QBREPORTCOMPARECOL_ANNUALBUDGET" localSheetId="22">FALSE</definedName>
    <definedName name="QBREPORTCOMPARECOL_AVGCOGS" localSheetId="17">FALSE</definedName>
    <definedName name="QBREPORTCOMPARECOL_AVGCOGS" localSheetId="19">FALSE</definedName>
    <definedName name="QBREPORTCOMPARECOL_AVGCOGS" localSheetId="20">FALSE</definedName>
    <definedName name="QBREPORTCOMPARECOL_AVGCOGS" localSheetId="18">FALSE</definedName>
    <definedName name="QBREPORTCOMPARECOL_AVGCOGS" localSheetId="21">FALSE</definedName>
    <definedName name="QBREPORTCOMPARECOL_AVGCOGS" localSheetId="22">FALSE</definedName>
    <definedName name="QBREPORTCOMPARECOL_AVGPRICE" localSheetId="17">FALSE</definedName>
    <definedName name="QBREPORTCOMPARECOL_AVGPRICE" localSheetId="19">FALSE</definedName>
    <definedName name="QBREPORTCOMPARECOL_AVGPRICE" localSheetId="20">FALSE</definedName>
    <definedName name="QBREPORTCOMPARECOL_AVGPRICE" localSheetId="18">FALSE</definedName>
    <definedName name="QBREPORTCOMPARECOL_AVGPRICE" localSheetId="21">FALSE</definedName>
    <definedName name="QBREPORTCOMPARECOL_AVGPRICE" localSheetId="22">FALSE</definedName>
    <definedName name="QBREPORTCOMPARECOL_BUDDIFF" localSheetId="17">FALSE</definedName>
    <definedName name="QBREPORTCOMPARECOL_BUDDIFF" localSheetId="19">FALSE</definedName>
    <definedName name="QBREPORTCOMPARECOL_BUDDIFF" localSheetId="20">FALSE</definedName>
    <definedName name="QBREPORTCOMPARECOL_BUDDIFF" localSheetId="18">FALSE</definedName>
    <definedName name="QBREPORTCOMPARECOL_BUDDIFF" localSheetId="21">FALSE</definedName>
    <definedName name="QBREPORTCOMPARECOL_BUDDIFF" localSheetId="22">FALSE</definedName>
    <definedName name="QBREPORTCOMPARECOL_BUDGET" localSheetId="17">FALSE</definedName>
    <definedName name="QBREPORTCOMPARECOL_BUDGET" localSheetId="19">FALSE</definedName>
    <definedName name="QBREPORTCOMPARECOL_BUDGET" localSheetId="20">FALSE</definedName>
    <definedName name="QBREPORTCOMPARECOL_BUDGET" localSheetId="18">FALSE</definedName>
    <definedName name="QBREPORTCOMPARECOL_BUDGET" localSheetId="21">FALSE</definedName>
    <definedName name="QBREPORTCOMPARECOL_BUDGET" localSheetId="22">FALSE</definedName>
    <definedName name="QBREPORTCOMPARECOL_BUDPCT" localSheetId="17">FALSE</definedName>
    <definedName name="QBREPORTCOMPARECOL_BUDPCT" localSheetId="19">FALSE</definedName>
    <definedName name="QBREPORTCOMPARECOL_BUDPCT" localSheetId="20">FALSE</definedName>
    <definedName name="QBREPORTCOMPARECOL_BUDPCT" localSheetId="18">FALSE</definedName>
    <definedName name="QBREPORTCOMPARECOL_BUDPCT" localSheetId="21">FALSE</definedName>
    <definedName name="QBREPORTCOMPARECOL_BUDPCT" localSheetId="22">FALSE</definedName>
    <definedName name="QBREPORTCOMPARECOL_COGS" localSheetId="17">FALSE</definedName>
    <definedName name="QBREPORTCOMPARECOL_COGS" localSheetId="19">FALSE</definedName>
    <definedName name="QBREPORTCOMPARECOL_COGS" localSheetId="20">FALSE</definedName>
    <definedName name="QBREPORTCOMPARECOL_COGS" localSheetId="18">FALSE</definedName>
    <definedName name="QBREPORTCOMPARECOL_COGS" localSheetId="21">FALSE</definedName>
    <definedName name="QBREPORTCOMPARECOL_COGS" localSheetId="22">FALSE</definedName>
    <definedName name="QBREPORTCOMPARECOL_EXCLUDEAMOUNT" localSheetId="17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18">FALSE</definedName>
    <definedName name="QBREPORTCOMPARECOL_EXCLUDEAMOUNT" localSheetId="21">FALSE</definedName>
    <definedName name="QBREPORTCOMPARECOL_EXCLUDEAMOUNT" localSheetId="22">FALSE</definedName>
    <definedName name="QBREPORTCOMPARECOL_EXCLUDECURPERIOD" localSheetId="17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18">FALSE</definedName>
    <definedName name="QBREPORTCOMPARECOL_EXCLUDECURPERIOD" localSheetId="21">FALSE</definedName>
    <definedName name="QBREPORTCOMPARECOL_EXCLUDECURPERIOD" localSheetId="22">FALSE</definedName>
    <definedName name="QBREPORTCOMPARECOL_FORECAST" localSheetId="17">FALSE</definedName>
    <definedName name="QBREPORTCOMPARECOL_FORECAST" localSheetId="19">FALSE</definedName>
    <definedName name="QBREPORTCOMPARECOL_FORECAST" localSheetId="20">FALSE</definedName>
    <definedName name="QBREPORTCOMPARECOL_FORECAST" localSheetId="18">FALSE</definedName>
    <definedName name="QBREPORTCOMPARECOL_FORECAST" localSheetId="21">FALSE</definedName>
    <definedName name="QBREPORTCOMPARECOL_FORECAST" localSheetId="22">FALSE</definedName>
    <definedName name="QBREPORTCOMPARECOL_GROSSMARGIN" localSheetId="17">FALSE</definedName>
    <definedName name="QBREPORTCOMPARECOL_GROSSMARGIN" localSheetId="19">FALSE</definedName>
    <definedName name="QBREPORTCOMPARECOL_GROSSMARGIN" localSheetId="20">FALSE</definedName>
    <definedName name="QBREPORTCOMPARECOL_GROSSMARGIN" localSheetId="18">FALSE</definedName>
    <definedName name="QBREPORTCOMPARECOL_GROSSMARGIN" localSheetId="21">FALSE</definedName>
    <definedName name="QBREPORTCOMPARECOL_GROSSMARGIN" localSheetId="22">FALSE</definedName>
    <definedName name="QBREPORTCOMPARECOL_GROSSMARGINPCT" localSheetId="17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18">FALSE</definedName>
    <definedName name="QBREPORTCOMPARECOL_GROSSMARGINPCT" localSheetId="21">FALSE</definedName>
    <definedName name="QBREPORTCOMPARECOL_GROSSMARGINPCT" localSheetId="22">FALSE</definedName>
    <definedName name="QBREPORTCOMPARECOL_HOURS" localSheetId="17">FALSE</definedName>
    <definedName name="QBREPORTCOMPARECOL_HOURS" localSheetId="19">FALSE</definedName>
    <definedName name="QBREPORTCOMPARECOL_HOURS" localSheetId="20">FALSE</definedName>
    <definedName name="QBREPORTCOMPARECOL_HOURS" localSheetId="18">FALSE</definedName>
    <definedName name="QBREPORTCOMPARECOL_HOURS" localSheetId="21">FALSE</definedName>
    <definedName name="QBREPORTCOMPARECOL_HOURS" localSheetId="22">FALSE</definedName>
    <definedName name="QBREPORTCOMPARECOL_PCTCOL" localSheetId="17">FALSE</definedName>
    <definedName name="QBREPORTCOMPARECOL_PCTCOL" localSheetId="19">FALSE</definedName>
    <definedName name="QBREPORTCOMPARECOL_PCTCOL" localSheetId="20">FALSE</definedName>
    <definedName name="QBREPORTCOMPARECOL_PCTCOL" localSheetId="18">FALSE</definedName>
    <definedName name="QBREPORTCOMPARECOL_PCTCOL" localSheetId="21">FALSE</definedName>
    <definedName name="QBREPORTCOMPARECOL_PCTCOL" localSheetId="22">FALSE</definedName>
    <definedName name="QBREPORTCOMPARECOL_PCTEXPENSE" localSheetId="17">FALSE</definedName>
    <definedName name="QBREPORTCOMPARECOL_PCTEXPENSE" localSheetId="19">FALSE</definedName>
    <definedName name="QBREPORTCOMPARECOL_PCTEXPENSE" localSheetId="20">FALSE</definedName>
    <definedName name="QBREPORTCOMPARECOL_PCTEXPENSE" localSheetId="18">FALSE</definedName>
    <definedName name="QBREPORTCOMPARECOL_PCTEXPENSE" localSheetId="21">FALSE</definedName>
    <definedName name="QBREPORTCOMPARECOL_PCTEXPENSE" localSheetId="22">FALSE</definedName>
    <definedName name="QBREPORTCOMPARECOL_PCTINCOME" localSheetId="17">FALSE</definedName>
    <definedName name="QBREPORTCOMPARECOL_PCTINCOME" localSheetId="19">FALSE</definedName>
    <definedName name="QBREPORTCOMPARECOL_PCTINCOME" localSheetId="20">FALSE</definedName>
    <definedName name="QBREPORTCOMPARECOL_PCTINCOME" localSheetId="18">FALSE</definedName>
    <definedName name="QBREPORTCOMPARECOL_PCTINCOME" localSheetId="21">FALSE</definedName>
    <definedName name="QBREPORTCOMPARECOL_PCTINCOME" localSheetId="22">FALSE</definedName>
    <definedName name="QBREPORTCOMPARECOL_PCTOFSALES" localSheetId="17">FALSE</definedName>
    <definedName name="QBREPORTCOMPARECOL_PCTOFSALES" localSheetId="19">FALSE</definedName>
    <definedName name="QBREPORTCOMPARECOL_PCTOFSALES" localSheetId="20">FALSE</definedName>
    <definedName name="QBREPORTCOMPARECOL_PCTOFSALES" localSheetId="18">FALSE</definedName>
    <definedName name="QBREPORTCOMPARECOL_PCTOFSALES" localSheetId="21">FALSE</definedName>
    <definedName name="QBREPORTCOMPARECOL_PCTOFSALES" localSheetId="22">FALSE</definedName>
    <definedName name="QBREPORTCOMPARECOL_PCTROW" localSheetId="17">FALSE</definedName>
    <definedName name="QBREPORTCOMPARECOL_PCTROW" localSheetId="19">FALSE</definedName>
    <definedName name="QBREPORTCOMPARECOL_PCTROW" localSheetId="20">FALSE</definedName>
    <definedName name="QBREPORTCOMPARECOL_PCTROW" localSheetId="18">FALSE</definedName>
    <definedName name="QBREPORTCOMPARECOL_PCTROW" localSheetId="21">FALSE</definedName>
    <definedName name="QBREPORTCOMPARECOL_PCTROW" localSheetId="22">FALSE</definedName>
    <definedName name="QBREPORTCOMPARECOL_PPDIFF" localSheetId="17">FALSE</definedName>
    <definedName name="QBREPORTCOMPARECOL_PPDIFF" localSheetId="19">FALSE</definedName>
    <definedName name="QBREPORTCOMPARECOL_PPDIFF" localSheetId="20">FALSE</definedName>
    <definedName name="QBREPORTCOMPARECOL_PPDIFF" localSheetId="18">FALSE</definedName>
    <definedName name="QBREPORTCOMPARECOL_PPDIFF" localSheetId="21">FALSE</definedName>
    <definedName name="QBREPORTCOMPARECOL_PPDIFF" localSheetId="22">FALSE</definedName>
    <definedName name="QBREPORTCOMPARECOL_PPPCT" localSheetId="17">FALSE</definedName>
    <definedName name="QBREPORTCOMPARECOL_PPPCT" localSheetId="19">FALSE</definedName>
    <definedName name="QBREPORTCOMPARECOL_PPPCT" localSheetId="20">FALSE</definedName>
    <definedName name="QBREPORTCOMPARECOL_PPPCT" localSheetId="18">FALSE</definedName>
    <definedName name="QBREPORTCOMPARECOL_PPPCT" localSheetId="21">FALSE</definedName>
    <definedName name="QBREPORTCOMPARECOL_PPPCT" localSheetId="22">FALSE</definedName>
    <definedName name="QBREPORTCOMPARECOL_PREVPERIOD" localSheetId="17">FALSE</definedName>
    <definedName name="QBREPORTCOMPARECOL_PREVPERIOD" localSheetId="19">FALSE</definedName>
    <definedName name="QBREPORTCOMPARECOL_PREVPERIOD" localSheetId="20">FALSE</definedName>
    <definedName name="QBREPORTCOMPARECOL_PREVPERIOD" localSheetId="18">FALSE</definedName>
    <definedName name="QBREPORTCOMPARECOL_PREVPERIOD" localSheetId="21">FALSE</definedName>
    <definedName name="QBREPORTCOMPARECOL_PREVPERIOD" localSheetId="22">FALSE</definedName>
    <definedName name="QBREPORTCOMPARECOL_PREVYEAR" localSheetId="17">TRUE</definedName>
    <definedName name="QBREPORTCOMPARECOL_PREVYEAR" localSheetId="19">TRUE</definedName>
    <definedName name="QBREPORTCOMPARECOL_PREVYEAR" localSheetId="20">TRUE</definedName>
    <definedName name="QBREPORTCOMPARECOL_PREVYEAR" localSheetId="18">TRUE</definedName>
    <definedName name="QBREPORTCOMPARECOL_PREVYEAR" localSheetId="21">TRUE</definedName>
    <definedName name="QBREPORTCOMPARECOL_PREVYEAR" localSheetId="22">TRUE</definedName>
    <definedName name="QBREPORTCOMPARECOL_PYDIFF" localSheetId="17">TRUE</definedName>
    <definedName name="QBREPORTCOMPARECOL_PYDIFF" localSheetId="19">TRUE</definedName>
    <definedName name="QBREPORTCOMPARECOL_PYDIFF" localSheetId="20">TRUE</definedName>
    <definedName name="QBREPORTCOMPARECOL_PYDIFF" localSheetId="18">TRUE</definedName>
    <definedName name="QBREPORTCOMPARECOL_PYDIFF" localSheetId="21">TRUE</definedName>
    <definedName name="QBREPORTCOMPARECOL_PYDIFF" localSheetId="22">TRUE</definedName>
    <definedName name="QBREPORTCOMPARECOL_PYPCT" localSheetId="17">TRUE</definedName>
    <definedName name="QBREPORTCOMPARECOL_PYPCT" localSheetId="19">TRUE</definedName>
    <definedName name="QBREPORTCOMPARECOL_PYPCT" localSheetId="20">TRUE</definedName>
    <definedName name="QBREPORTCOMPARECOL_PYPCT" localSheetId="18">TRUE</definedName>
    <definedName name="QBREPORTCOMPARECOL_PYPCT" localSheetId="21">TRUE</definedName>
    <definedName name="QBREPORTCOMPARECOL_PYPCT" localSheetId="22">TRUE</definedName>
    <definedName name="QBREPORTCOMPARECOL_QTY" localSheetId="17">FALSE</definedName>
    <definedName name="QBREPORTCOMPARECOL_QTY" localSheetId="19">FALSE</definedName>
    <definedName name="QBREPORTCOMPARECOL_QTY" localSheetId="20">FALSE</definedName>
    <definedName name="QBREPORTCOMPARECOL_QTY" localSheetId="18">FALSE</definedName>
    <definedName name="QBREPORTCOMPARECOL_QTY" localSheetId="21">FALSE</definedName>
    <definedName name="QBREPORTCOMPARECOL_QTY" localSheetId="22">FALSE</definedName>
    <definedName name="QBREPORTCOMPARECOL_RATE" localSheetId="17">FALSE</definedName>
    <definedName name="QBREPORTCOMPARECOL_RATE" localSheetId="19">FALSE</definedName>
    <definedName name="QBREPORTCOMPARECOL_RATE" localSheetId="20">FALSE</definedName>
    <definedName name="QBREPORTCOMPARECOL_RATE" localSheetId="18">FALSE</definedName>
    <definedName name="QBREPORTCOMPARECOL_RATE" localSheetId="21">FALSE</definedName>
    <definedName name="QBREPORTCOMPARECOL_RATE" localSheetId="22">FALSE</definedName>
    <definedName name="QBREPORTCOMPARECOL_TRIPBILLEDMILES" localSheetId="17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18">FALSE</definedName>
    <definedName name="QBREPORTCOMPARECOL_TRIPBILLEDMILES" localSheetId="21">FALSE</definedName>
    <definedName name="QBREPORTCOMPARECOL_TRIPBILLEDMILES" localSheetId="22">FALSE</definedName>
    <definedName name="QBREPORTCOMPARECOL_TRIPBILLINGAMOUNT" localSheetId="17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18">FALSE</definedName>
    <definedName name="QBREPORTCOMPARECOL_TRIPBILLINGAMOUNT" localSheetId="21">FALSE</definedName>
    <definedName name="QBREPORTCOMPARECOL_TRIPBILLINGAMOUNT" localSheetId="22">FALSE</definedName>
    <definedName name="QBREPORTCOMPARECOL_TRIPMILES" localSheetId="17">FALSE</definedName>
    <definedName name="QBREPORTCOMPARECOL_TRIPMILES" localSheetId="19">FALSE</definedName>
    <definedName name="QBREPORTCOMPARECOL_TRIPMILES" localSheetId="20">FALSE</definedName>
    <definedName name="QBREPORTCOMPARECOL_TRIPMILES" localSheetId="18">FALSE</definedName>
    <definedName name="QBREPORTCOMPARECOL_TRIPMILES" localSheetId="21">FALSE</definedName>
    <definedName name="QBREPORTCOMPARECOL_TRIPMILES" localSheetId="22">FALSE</definedName>
    <definedName name="QBREPORTCOMPARECOL_TRIPNOTBILLABLEMILES" localSheetId="17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18">FALSE</definedName>
    <definedName name="QBREPORTCOMPARECOL_TRIPNOTBILLABLEMILES" localSheetId="21">FALSE</definedName>
    <definedName name="QBREPORTCOMPARECOL_TRIPNOTBILLABLEMILES" localSheetId="22">FALSE</definedName>
    <definedName name="QBREPORTCOMPARECOL_TRIPTAXDEDUCTIBLEAMOUNT" localSheetId="17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18">FALSE</definedName>
    <definedName name="QBREPORTCOMPARECOL_TRIPTAXDEDUCTIBLEAMOUNT" localSheetId="21">FALSE</definedName>
    <definedName name="QBREPORTCOMPARECOL_TRIPTAXDEDUCTIBLEAMOUNT" localSheetId="22">FALSE</definedName>
    <definedName name="QBREPORTCOMPARECOL_TRIPUNBILLEDMILES" localSheetId="17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18">FALSE</definedName>
    <definedName name="QBREPORTCOMPARECOL_TRIPUNBILLEDMILES" localSheetId="21">FALSE</definedName>
    <definedName name="QBREPORTCOMPARECOL_TRIPUNBILLEDMILES" localSheetId="22">FALSE</definedName>
    <definedName name="QBREPORTCOMPARECOL_YTD" localSheetId="17">FALSE</definedName>
    <definedName name="QBREPORTCOMPARECOL_YTD" localSheetId="19">FALSE</definedName>
    <definedName name="QBREPORTCOMPARECOL_YTD" localSheetId="20">FALSE</definedName>
    <definedName name="QBREPORTCOMPARECOL_YTD" localSheetId="18">FALSE</definedName>
    <definedName name="QBREPORTCOMPARECOL_YTD" localSheetId="21">FALSE</definedName>
    <definedName name="QBREPORTCOMPARECOL_YTD" localSheetId="22">FALSE</definedName>
    <definedName name="QBREPORTCOMPARECOL_YTDBUDGET" localSheetId="17">FALSE</definedName>
    <definedName name="QBREPORTCOMPARECOL_YTDBUDGET" localSheetId="19">FALSE</definedName>
    <definedName name="QBREPORTCOMPARECOL_YTDBUDGET" localSheetId="20">FALSE</definedName>
    <definedName name="QBREPORTCOMPARECOL_YTDBUDGET" localSheetId="18">FALSE</definedName>
    <definedName name="QBREPORTCOMPARECOL_YTDBUDGET" localSheetId="21">FALSE</definedName>
    <definedName name="QBREPORTCOMPARECOL_YTDBUDGET" localSheetId="22">FALSE</definedName>
    <definedName name="QBREPORTCOMPARECOL_YTDPCT" localSheetId="17">FALSE</definedName>
    <definedName name="QBREPORTCOMPARECOL_YTDPCT" localSheetId="19">FALSE</definedName>
    <definedName name="QBREPORTCOMPARECOL_YTDPCT" localSheetId="20">FALSE</definedName>
    <definedName name="QBREPORTCOMPARECOL_YTDPCT" localSheetId="18">FALSE</definedName>
    <definedName name="QBREPORTCOMPARECOL_YTDPCT" localSheetId="21">FALSE</definedName>
    <definedName name="QBREPORTCOMPARECOL_YTDPCT" localSheetId="22">FALSE</definedName>
    <definedName name="QBREPORTROWAXIS" localSheetId="17">11</definedName>
    <definedName name="QBREPORTROWAXIS" localSheetId="19">11</definedName>
    <definedName name="QBREPORTROWAXIS" localSheetId="20">11</definedName>
    <definedName name="QBREPORTROWAXIS" localSheetId="18">11</definedName>
    <definedName name="QBREPORTROWAXIS" localSheetId="21">11</definedName>
    <definedName name="QBREPORTROWAXIS" localSheetId="22">11</definedName>
    <definedName name="QBREPORTSUBCOLAXIS" localSheetId="17">24</definedName>
    <definedName name="QBREPORTSUBCOLAXIS" localSheetId="19">24</definedName>
    <definedName name="QBREPORTSUBCOLAXIS" localSheetId="20">24</definedName>
    <definedName name="QBREPORTSUBCOLAXIS" localSheetId="18">24</definedName>
    <definedName name="QBREPORTSUBCOLAXIS" localSheetId="21">24</definedName>
    <definedName name="QBREPORTSUBCOLAXIS" localSheetId="22">24</definedName>
    <definedName name="QBREPORTTYPE" localSheetId="17">1</definedName>
    <definedName name="QBREPORTTYPE" localSheetId="19">1</definedName>
    <definedName name="QBREPORTTYPE" localSheetId="20">1</definedName>
    <definedName name="QBREPORTTYPE" localSheetId="18">1</definedName>
    <definedName name="QBREPORTTYPE" localSheetId="21">1</definedName>
    <definedName name="QBREPORTTYPE" localSheetId="22">1</definedName>
    <definedName name="QBROWHEADERS" localSheetId="17">6</definedName>
    <definedName name="QBROWHEADERS" localSheetId="19">6</definedName>
    <definedName name="QBROWHEADERS" localSheetId="20">6</definedName>
    <definedName name="QBROWHEADERS" localSheetId="18">6</definedName>
    <definedName name="QBROWHEADERS" localSheetId="21">6</definedName>
    <definedName name="QBROWHEADERS" localSheetId="22">6</definedName>
    <definedName name="QBSTARTDATE" localSheetId="17">20170701</definedName>
    <definedName name="QBSTARTDATE" localSheetId="19">20170701</definedName>
    <definedName name="QBSTARTDATE" localSheetId="20">20170701</definedName>
    <definedName name="QBSTARTDATE" localSheetId="18">20170701</definedName>
    <definedName name="QBSTARTDATE" localSheetId="21">20170701</definedName>
    <definedName name="QBSTARTDATE" localSheetId="22">20170701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24" l="1"/>
  <c r="C42" i="24"/>
  <c r="C43" i="24"/>
  <c r="C47" i="24"/>
  <c r="C48" i="24"/>
  <c r="D52" i="26"/>
  <c r="C6" i="26"/>
  <c r="C18" i="26"/>
  <c r="C20" i="26"/>
  <c r="C31" i="26"/>
  <c r="C36" i="26"/>
  <c r="C41" i="26"/>
  <c r="C42" i="26"/>
  <c r="D46" i="26"/>
  <c r="D47" i="26"/>
  <c r="E18" i="26"/>
  <c r="E20" i="26"/>
  <c r="E31" i="26"/>
  <c r="E36" i="26"/>
  <c r="E41" i="26"/>
  <c r="E42" i="26"/>
  <c r="D18" i="26"/>
  <c r="D20" i="26"/>
  <c r="D36" i="26"/>
  <c r="D41" i="26"/>
  <c r="D42" i="26"/>
  <c r="C19" i="24"/>
  <c r="C36" i="24"/>
  <c r="C31" i="24"/>
  <c r="C6" i="24"/>
  <c r="D6" i="24"/>
  <c r="D19" i="24"/>
  <c r="D31" i="24"/>
  <c r="D36" i="24"/>
  <c r="F19" i="24"/>
  <c r="F31" i="24"/>
  <c r="F36" i="24"/>
  <c r="F42" i="24"/>
  <c r="E19" i="24"/>
  <c r="E36" i="24"/>
  <c r="E42" i="24"/>
  <c r="D52" i="23"/>
  <c r="C6" i="23"/>
  <c r="C18" i="23"/>
  <c r="C20" i="23"/>
  <c r="C31" i="23"/>
  <c r="C36" i="23"/>
  <c r="C41" i="23"/>
  <c r="C42" i="23"/>
  <c r="D46" i="23"/>
  <c r="D47" i="23"/>
  <c r="E18" i="23"/>
  <c r="E20" i="23"/>
  <c r="E31" i="23"/>
  <c r="E36" i="23"/>
  <c r="E41" i="23"/>
  <c r="E42" i="23"/>
  <c r="D18" i="23"/>
  <c r="D20" i="23"/>
  <c r="D36" i="23"/>
  <c r="D41" i="23"/>
  <c r="D42" i="23"/>
  <c r="D52" i="22"/>
  <c r="C6" i="22"/>
  <c r="C18" i="22"/>
  <c r="C20" i="22"/>
  <c r="C31" i="22"/>
  <c r="C36" i="22"/>
  <c r="C41" i="22"/>
  <c r="C42" i="22"/>
  <c r="D46" i="22"/>
  <c r="D47" i="22"/>
  <c r="E18" i="22"/>
  <c r="E20" i="22"/>
  <c r="E31" i="22"/>
  <c r="E36" i="22"/>
  <c r="E41" i="22"/>
  <c r="E42" i="22"/>
  <c r="D18" i="22"/>
  <c r="D20" i="22"/>
  <c r="D36" i="22"/>
  <c r="D41" i="22"/>
  <c r="D42" i="22"/>
  <c r="D52" i="21"/>
  <c r="C6" i="21"/>
  <c r="C18" i="21"/>
  <c r="C20" i="21"/>
  <c r="C31" i="21"/>
  <c r="C36" i="21"/>
  <c r="C41" i="21"/>
  <c r="C42" i="21"/>
  <c r="D46" i="21"/>
  <c r="D47" i="21"/>
  <c r="E18" i="21"/>
  <c r="E20" i="21"/>
  <c r="E31" i="21"/>
  <c r="E36" i="21"/>
  <c r="E41" i="21"/>
  <c r="E42" i="21"/>
  <c r="D18" i="21"/>
  <c r="D20" i="21"/>
  <c r="D36" i="21"/>
  <c r="D41" i="21"/>
  <c r="D42" i="21"/>
  <c r="C18" i="20"/>
  <c r="C6" i="20"/>
  <c r="C20" i="20"/>
  <c r="C31" i="20"/>
  <c r="C36" i="20"/>
  <c r="C41" i="20"/>
  <c r="C42" i="20"/>
  <c r="D46" i="20"/>
  <c r="D52" i="20"/>
  <c r="D47" i="20"/>
  <c r="E18" i="20"/>
  <c r="E20" i="20"/>
  <c r="E31" i="20"/>
  <c r="E36" i="20"/>
  <c r="E41" i="20"/>
  <c r="E42" i="20"/>
  <c r="D18" i="20"/>
  <c r="D20" i="20"/>
  <c r="D36" i="20"/>
  <c r="D41" i="20"/>
  <c r="D42" i="20"/>
  <c r="D28" i="19"/>
  <c r="I8" i="19"/>
  <c r="D15" i="19"/>
  <c r="D17" i="19"/>
  <c r="D33" i="19"/>
  <c r="D38" i="19"/>
  <c r="D39" i="19"/>
  <c r="I43" i="19"/>
  <c r="E49" i="19"/>
  <c r="E15" i="19"/>
  <c r="E17" i="19"/>
  <c r="E33" i="19"/>
  <c r="E38" i="19"/>
  <c r="E39" i="19"/>
  <c r="I44" i="19"/>
  <c r="I11" i="19"/>
  <c r="I15" i="19"/>
  <c r="I37" i="19"/>
  <c r="I38" i="19"/>
  <c r="I39" i="19"/>
  <c r="G9" i="19"/>
  <c r="G15" i="19"/>
  <c r="G38" i="19"/>
  <c r="G39" i="19"/>
  <c r="D40" i="18"/>
  <c r="D35" i="18"/>
  <c r="D19" i="18"/>
  <c r="D53" i="18"/>
  <c r="H44" i="18"/>
  <c r="D17" i="18"/>
  <c r="D41" i="18"/>
  <c r="H45" i="18"/>
  <c r="H46" i="18"/>
  <c r="H10" i="18"/>
  <c r="H14" i="18"/>
  <c r="H17" i="18"/>
  <c r="H39" i="18"/>
  <c r="H40" i="18"/>
  <c r="H41" i="18"/>
  <c r="F11" i="18"/>
  <c r="F17" i="18"/>
  <c r="F40" i="18"/>
  <c r="F41" i="18"/>
  <c r="D53" i="17"/>
  <c r="H44" i="17"/>
  <c r="H40" i="17"/>
  <c r="F40" i="17"/>
  <c r="D40" i="17"/>
  <c r="H39" i="17"/>
  <c r="D17" i="17"/>
  <c r="D41" i="17"/>
  <c r="H45" i="17"/>
  <c r="H14" i="17"/>
  <c r="F11" i="17"/>
  <c r="F17" i="17"/>
  <c r="F41" i="17"/>
  <c r="H10" i="17"/>
  <c r="H17" i="17"/>
  <c r="H41" i="17"/>
  <c r="H46" i="17"/>
  <c r="H44" i="16"/>
  <c r="D53" i="16"/>
  <c r="F40" i="16"/>
  <c r="F11" i="16"/>
  <c r="F17" i="16"/>
  <c r="H39" i="16"/>
  <c r="H40" i="16"/>
  <c r="H14" i="16"/>
  <c r="H10" i="16"/>
  <c r="H17" i="16"/>
  <c r="F41" i="16"/>
  <c r="H41" i="16"/>
  <c r="D40" i="16"/>
  <c r="D17" i="16"/>
  <c r="D41" i="16"/>
  <c r="H45" i="16"/>
  <c r="H46" i="16"/>
  <c r="G27" i="15"/>
  <c r="E27" i="15"/>
  <c r="C27" i="15"/>
  <c r="G16" i="15"/>
  <c r="E16" i="15"/>
  <c r="C16" i="15"/>
  <c r="G28" i="15"/>
  <c r="C28" i="15"/>
  <c r="G32" i="15"/>
  <c r="E28" i="15"/>
  <c r="I48" i="14"/>
  <c r="E11" i="14"/>
  <c r="C39" i="14"/>
  <c r="C40" i="14"/>
  <c r="C14" i="14"/>
  <c r="C10" i="14"/>
  <c r="C17" i="14"/>
  <c r="C41" i="14"/>
  <c r="C45" i="14"/>
  <c r="C46" i="14"/>
  <c r="I40" i="14"/>
  <c r="G40" i="14"/>
  <c r="E40" i="14"/>
  <c r="C47" i="14"/>
  <c r="E17" i="14"/>
  <c r="I17" i="14"/>
  <c r="G17" i="14"/>
  <c r="I41" i="14"/>
  <c r="G41" i="14"/>
  <c r="E41" i="14"/>
  <c r="I45" i="14"/>
  <c r="C14" i="13"/>
  <c r="C16" i="13"/>
  <c r="G27" i="13"/>
  <c r="E27" i="13"/>
  <c r="C27" i="13"/>
  <c r="G16" i="13"/>
  <c r="E16" i="13"/>
  <c r="G28" i="13"/>
  <c r="C28" i="13"/>
  <c r="G32" i="13"/>
  <c r="E28" i="13"/>
  <c r="I27" i="12"/>
  <c r="G27" i="12"/>
  <c r="E27" i="12"/>
  <c r="C27" i="12"/>
  <c r="I16" i="12"/>
  <c r="G16" i="12"/>
  <c r="E16" i="12"/>
  <c r="E28" i="12"/>
  <c r="C16" i="12"/>
  <c r="I28" i="12"/>
  <c r="G28" i="12"/>
  <c r="C28" i="12"/>
  <c r="G32" i="12"/>
  <c r="C16" i="11"/>
  <c r="I27" i="11"/>
  <c r="I16" i="11"/>
  <c r="G27" i="11"/>
  <c r="E27" i="11"/>
  <c r="C27" i="11"/>
  <c r="G16" i="11"/>
  <c r="E16" i="11"/>
  <c r="E28" i="11"/>
  <c r="G28" i="11"/>
  <c r="I28" i="11"/>
  <c r="C28" i="11"/>
  <c r="G32" i="11"/>
  <c r="G27" i="10"/>
  <c r="E27" i="10"/>
  <c r="C27" i="10"/>
  <c r="G16" i="10"/>
  <c r="E16" i="10"/>
  <c r="E28" i="10"/>
  <c r="C10" i="10"/>
  <c r="C16" i="10"/>
  <c r="C28" i="10"/>
  <c r="G32" i="10"/>
  <c r="G28" i="10"/>
  <c r="L89" i="9"/>
  <c r="J89" i="9"/>
  <c r="L83" i="9"/>
  <c r="L91" i="9"/>
  <c r="J83" i="9"/>
  <c r="L74" i="9"/>
  <c r="J74" i="9"/>
  <c r="B74" i="9"/>
  <c r="B91" i="9"/>
  <c r="L63" i="9"/>
  <c r="J63" i="9"/>
  <c r="L59" i="9"/>
  <c r="J59" i="9"/>
  <c r="L54" i="9"/>
  <c r="J54" i="9"/>
  <c r="L51" i="9"/>
  <c r="J51" i="9"/>
  <c r="B46" i="9"/>
  <c r="L45" i="9"/>
  <c r="J45" i="9"/>
  <c r="B45" i="9"/>
  <c r="L38" i="9"/>
  <c r="J38" i="9"/>
  <c r="B38" i="9"/>
  <c r="L30" i="9"/>
  <c r="L26" i="9"/>
  <c r="J26" i="9"/>
  <c r="J32" i="9"/>
  <c r="B26" i="9"/>
  <c r="B32" i="9"/>
  <c r="L17" i="9"/>
  <c r="J17" i="9"/>
  <c r="B17" i="9"/>
  <c r="L8" i="9"/>
  <c r="J8" i="9"/>
  <c r="J91" i="9"/>
  <c r="J47" i="9"/>
  <c r="L32" i="9"/>
  <c r="L47" i="9"/>
  <c r="B47" i="9"/>
  <c r="B48" i="9"/>
  <c r="B64" i="9"/>
  <c r="B92" i="9"/>
  <c r="B96" i="9"/>
  <c r="J48" i="9"/>
  <c r="J64" i="9"/>
  <c r="J92" i="9"/>
  <c r="L48" i="9"/>
  <c r="L64" i="9"/>
  <c r="L92" i="9"/>
  <c r="B97" i="9"/>
  <c r="G31" i="15"/>
  <c r="G34" i="15"/>
  <c r="I44" i="14"/>
  <c r="I47" i="14"/>
  <c r="G31" i="13"/>
  <c r="G34" i="13"/>
  <c r="G31" i="12"/>
  <c r="B98" i="9"/>
  <c r="G31" i="11"/>
  <c r="G31" i="10"/>
  <c r="G34" i="10"/>
  <c r="M80" i="6"/>
  <c r="K80" i="6"/>
  <c r="O79" i="6"/>
  <c r="I79" i="6"/>
  <c r="G79" i="6"/>
  <c r="G81" i="6"/>
  <c r="M78" i="6"/>
  <c r="K78" i="6"/>
  <c r="M77" i="6"/>
  <c r="K77" i="6"/>
  <c r="M76" i="6"/>
  <c r="K76" i="6"/>
  <c r="M74" i="6"/>
  <c r="K74" i="6"/>
  <c r="I73" i="6"/>
  <c r="I81" i="6"/>
  <c r="M72" i="6"/>
  <c r="K72" i="6"/>
  <c r="O71" i="6"/>
  <c r="O73" i="6"/>
  <c r="O81" i="6"/>
  <c r="M71" i="6"/>
  <c r="K71" i="6"/>
  <c r="M69" i="6"/>
  <c r="K69" i="6"/>
  <c r="M68" i="6"/>
  <c r="K68" i="6"/>
  <c r="M67" i="6"/>
  <c r="K67" i="6"/>
  <c r="M66" i="6"/>
  <c r="K66" i="6"/>
  <c r="M65" i="6"/>
  <c r="K65" i="6"/>
  <c r="O62" i="6"/>
  <c r="I62" i="6"/>
  <c r="G62" i="6"/>
  <c r="M61" i="6"/>
  <c r="K61" i="6"/>
  <c r="M60" i="6"/>
  <c r="K60" i="6"/>
  <c r="O58" i="6"/>
  <c r="I58" i="6"/>
  <c r="G58" i="6"/>
  <c r="M58" i="6"/>
  <c r="M57" i="6"/>
  <c r="K57" i="6"/>
  <c r="M56" i="6"/>
  <c r="K56" i="6"/>
  <c r="M54" i="6"/>
  <c r="K54" i="6"/>
  <c r="O53" i="6"/>
  <c r="M53" i="6"/>
  <c r="I53" i="6"/>
  <c r="G53" i="6"/>
  <c r="K53" i="6"/>
  <c r="M52" i="6"/>
  <c r="K52" i="6"/>
  <c r="O50" i="6"/>
  <c r="I50" i="6"/>
  <c r="G50" i="6"/>
  <c r="M49" i="6"/>
  <c r="K49" i="6"/>
  <c r="M45" i="6"/>
  <c r="K45" i="6"/>
  <c r="O44" i="6"/>
  <c r="I44" i="6"/>
  <c r="G44" i="6"/>
  <c r="M43" i="6"/>
  <c r="K43" i="6"/>
  <c r="M42" i="6"/>
  <c r="K42" i="6"/>
  <c r="M41" i="6"/>
  <c r="K41" i="6"/>
  <c r="M40" i="6"/>
  <c r="K40" i="6"/>
  <c r="M39" i="6"/>
  <c r="K39" i="6"/>
  <c r="O37" i="6"/>
  <c r="I37" i="6"/>
  <c r="I46" i="6"/>
  <c r="G37" i="6"/>
  <c r="M36" i="6"/>
  <c r="K36" i="6"/>
  <c r="M35" i="6"/>
  <c r="K35" i="6"/>
  <c r="M34" i="6"/>
  <c r="K34" i="6"/>
  <c r="G30" i="6"/>
  <c r="K30" i="6"/>
  <c r="O29" i="6"/>
  <c r="I29" i="6"/>
  <c r="G29" i="6"/>
  <c r="M28" i="6"/>
  <c r="K28" i="6"/>
  <c r="M27" i="6"/>
  <c r="K27" i="6"/>
  <c r="O25" i="6"/>
  <c r="I25" i="6"/>
  <c r="G25" i="6"/>
  <c r="M24" i="6"/>
  <c r="K24" i="6"/>
  <c r="M23" i="6"/>
  <c r="K23" i="6"/>
  <c r="M20" i="6"/>
  <c r="K20" i="6"/>
  <c r="M18" i="6"/>
  <c r="K18" i="6"/>
  <c r="M17" i="6"/>
  <c r="K17" i="6"/>
  <c r="O16" i="6"/>
  <c r="I16" i="6"/>
  <c r="G16" i="6"/>
  <c r="M15" i="6"/>
  <c r="K15" i="6"/>
  <c r="M14" i="6"/>
  <c r="K14" i="6"/>
  <c r="M13" i="6"/>
  <c r="K13" i="6"/>
  <c r="M12" i="6"/>
  <c r="K12" i="6"/>
  <c r="M10" i="6"/>
  <c r="K10" i="6"/>
  <c r="M9" i="6"/>
  <c r="K9" i="6"/>
  <c r="M8" i="6"/>
  <c r="K8" i="6"/>
  <c r="I7" i="6"/>
  <c r="G6" i="6"/>
  <c r="M5" i="6"/>
  <c r="K5" i="6"/>
  <c r="I31" i="12"/>
  <c r="G34" i="12"/>
  <c r="M29" i="6"/>
  <c r="M50" i="6"/>
  <c r="G34" i="11"/>
  <c r="I31" i="11"/>
  <c r="M30" i="6"/>
  <c r="O31" i="6"/>
  <c r="O47" i="6"/>
  <c r="O63" i="6"/>
  <c r="O82" i="6"/>
  <c r="M16" i="6"/>
  <c r="M25" i="6"/>
  <c r="M62" i="6"/>
  <c r="I31" i="6"/>
  <c r="I47" i="6"/>
  <c r="I63" i="6"/>
  <c r="I82" i="6"/>
  <c r="O46" i="6"/>
  <c r="M44" i="6"/>
  <c r="K50" i="6"/>
  <c r="K16" i="6"/>
  <c r="K29" i="6"/>
  <c r="M37" i="6"/>
  <c r="K62" i="6"/>
  <c r="M79" i="6"/>
  <c r="M73" i="6"/>
  <c r="K73" i="6"/>
  <c r="M7" i="6"/>
  <c r="K7" i="6"/>
  <c r="M81" i="6"/>
  <c r="K81" i="6"/>
  <c r="K6" i="6"/>
  <c r="G31" i="6"/>
  <c r="K44" i="6"/>
  <c r="K79" i="6"/>
  <c r="M6" i="6"/>
  <c r="K25" i="6"/>
  <c r="K37" i="6"/>
  <c r="G46" i="6"/>
  <c r="K58" i="6"/>
  <c r="M80" i="5"/>
  <c r="K80" i="5"/>
  <c r="O79" i="5"/>
  <c r="I79" i="5"/>
  <c r="G79" i="5"/>
  <c r="M78" i="5"/>
  <c r="K78" i="5"/>
  <c r="M77" i="5"/>
  <c r="K77" i="5"/>
  <c r="M76" i="5"/>
  <c r="K76" i="5"/>
  <c r="M74" i="5"/>
  <c r="K74" i="5"/>
  <c r="I73" i="5"/>
  <c r="G73" i="5"/>
  <c r="M72" i="5"/>
  <c r="K72" i="5"/>
  <c r="O71" i="5"/>
  <c r="O73" i="5"/>
  <c r="O81" i="5"/>
  <c r="M71" i="5"/>
  <c r="K71" i="5"/>
  <c r="M69" i="5"/>
  <c r="K69" i="5"/>
  <c r="M68" i="5"/>
  <c r="K68" i="5"/>
  <c r="M67" i="5"/>
  <c r="K67" i="5"/>
  <c r="M66" i="5"/>
  <c r="K66" i="5"/>
  <c r="M65" i="5"/>
  <c r="K65" i="5"/>
  <c r="O62" i="5"/>
  <c r="I62" i="5"/>
  <c r="G62" i="5"/>
  <c r="M61" i="5"/>
  <c r="K61" i="5"/>
  <c r="M60" i="5"/>
  <c r="K60" i="5"/>
  <c r="O58" i="5"/>
  <c r="I58" i="5"/>
  <c r="G58" i="5"/>
  <c r="M58" i="5"/>
  <c r="M57" i="5"/>
  <c r="K57" i="5"/>
  <c r="M56" i="5"/>
  <c r="K56" i="5"/>
  <c r="M54" i="5"/>
  <c r="K54" i="5"/>
  <c r="O53" i="5"/>
  <c r="I53" i="5"/>
  <c r="G53" i="5"/>
  <c r="M52" i="5"/>
  <c r="K52" i="5"/>
  <c r="O50" i="5"/>
  <c r="I50" i="5"/>
  <c r="G50" i="5"/>
  <c r="M49" i="5"/>
  <c r="K49" i="5"/>
  <c r="M45" i="5"/>
  <c r="K45" i="5"/>
  <c r="O44" i="5"/>
  <c r="I44" i="5"/>
  <c r="G44" i="5"/>
  <c r="M43" i="5"/>
  <c r="K43" i="5"/>
  <c r="M42" i="5"/>
  <c r="K42" i="5"/>
  <c r="M41" i="5"/>
  <c r="K41" i="5"/>
  <c r="M40" i="5"/>
  <c r="K40" i="5"/>
  <c r="M39" i="5"/>
  <c r="K39" i="5"/>
  <c r="O37" i="5"/>
  <c r="I37" i="5"/>
  <c r="G37" i="5"/>
  <c r="M36" i="5"/>
  <c r="K36" i="5"/>
  <c r="M35" i="5"/>
  <c r="K35" i="5"/>
  <c r="M34" i="5"/>
  <c r="K34" i="5"/>
  <c r="G30" i="5"/>
  <c r="M30" i="5"/>
  <c r="O29" i="5"/>
  <c r="I29" i="5"/>
  <c r="G29" i="5"/>
  <c r="M29" i="5"/>
  <c r="M28" i="5"/>
  <c r="K28" i="5"/>
  <c r="M27" i="5"/>
  <c r="K27" i="5"/>
  <c r="O25" i="5"/>
  <c r="I25" i="5"/>
  <c r="I31" i="5"/>
  <c r="G25" i="5"/>
  <c r="M24" i="5"/>
  <c r="K24" i="5"/>
  <c r="M23" i="5"/>
  <c r="K23" i="5"/>
  <c r="M20" i="5"/>
  <c r="K20" i="5"/>
  <c r="M18" i="5"/>
  <c r="K18" i="5"/>
  <c r="M17" i="5"/>
  <c r="K17" i="5"/>
  <c r="O16" i="5"/>
  <c r="I16" i="5"/>
  <c r="G16" i="5"/>
  <c r="M16" i="5"/>
  <c r="M15" i="5"/>
  <c r="K15" i="5"/>
  <c r="M14" i="5"/>
  <c r="K14" i="5"/>
  <c r="M13" i="5"/>
  <c r="K13" i="5"/>
  <c r="M12" i="5"/>
  <c r="K12" i="5"/>
  <c r="M10" i="5"/>
  <c r="K10" i="5"/>
  <c r="M9" i="5"/>
  <c r="K9" i="5"/>
  <c r="M8" i="5"/>
  <c r="K8" i="5"/>
  <c r="I7" i="5"/>
  <c r="G6" i="5"/>
  <c r="M6" i="5"/>
  <c r="M5" i="5"/>
  <c r="K5" i="5"/>
  <c r="K30" i="5"/>
  <c r="K29" i="5"/>
  <c r="O31" i="5"/>
  <c r="I46" i="5"/>
  <c r="M46" i="5"/>
  <c r="M44" i="5"/>
  <c r="K62" i="5"/>
  <c r="K25" i="5"/>
  <c r="M53" i="5"/>
  <c r="M25" i="5"/>
  <c r="G46" i="5"/>
  <c r="K31" i="6"/>
  <c r="M31" i="6"/>
  <c r="M46" i="6"/>
  <c r="K46" i="6"/>
  <c r="G7" i="5"/>
  <c r="M7" i="5"/>
  <c r="K53" i="5"/>
  <c r="I81" i="5"/>
  <c r="M37" i="5"/>
  <c r="O46" i="5"/>
  <c r="O47" i="5"/>
  <c r="O63" i="5"/>
  <c r="O82" i="5"/>
  <c r="M50" i="5"/>
  <c r="M62" i="5"/>
  <c r="K79" i="5"/>
  <c r="K73" i="5"/>
  <c r="M73" i="5"/>
  <c r="K16" i="5"/>
  <c r="K46" i="5"/>
  <c r="K50" i="5"/>
  <c r="K6" i="5"/>
  <c r="G31" i="5"/>
  <c r="K44" i="5"/>
  <c r="K37" i="5"/>
  <c r="K58" i="5"/>
  <c r="M79" i="5"/>
  <c r="G81" i="5"/>
  <c r="I47" i="5"/>
  <c r="I63" i="5"/>
  <c r="I82" i="5"/>
  <c r="K7" i="5"/>
  <c r="G63" i="6"/>
  <c r="M47" i="6"/>
  <c r="K47" i="6"/>
  <c r="M31" i="5"/>
  <c r="G47" i="5"/>
  <c r="K31" i="5"/>
  <c r="M81" i="5"/>
  <c r="K81" i="5"/>
  <c r="M80" i="4"/>
  <c r="K80" i="4"/>
  <c r="O79" i="4"/>
  <c r="I79" i="4"/>
  <c r="G79" i="4"/>
  <c r="M79" i="4"/>
  <c r="M78" i="4"/>
  <c r="K78" i="4"/>
  <c r="M77" i="4"/>
  <c r="K77" i="4"/>
  <c r="M76" i="4"/>
  <c r="K76" i="4"/>
  <c r="M74" i="4"/>
  <c r="K74" i="4"/>
  <c r="I73" i="4"/>
  <c r="I81" i="4"/>
  <c r="G73" i="4"/>
  <c r="M72" i="4"/>
  <c r="K72" i="4"/>
  <c r="O71" i="4"/>
  <c r="O73" i="4"/>
  <c r="O81" i="4"/>
  <c r="M71" i="4"/>
  <c r="K71" i="4"/>
  <c r="M69" i="4"/>
  <c r="K69" i="4"/>
  <c r="M68" i="4"/>
  <c r="K68" i="4"/>
  <c r="M67" i="4"/>
  <c r="K67" i="4"/>
  <c r="M66" i="4"/>
  <c r="K66" i="4"/>
  <c r="M65" i="4"/>
  <c r="K65" i="4"/>
  <c r="O62" i="4"/>
  <c r="I62" i="4"/>
  <c r="G62" i="4"/>
  <c r="K62" i="4"/>
  <c r="M61" i="4"/>
  <c r="K61" i="4"/>
  <c r="M60" i="4"/>
  <c r="K60" i="4"/>
  <c r="O58" i="4"/>
  <c r="I58" i="4"/>
  <c r="G58" i="4"/>
  <c r="M57" i="4"/>
  <c r="K57" i="4"/>
  <c r="M56" i="4"/>
  <c r="K56" i="4"/>
  <c r="M54" i="4"/>
  <c r="K54" i="4"/>
  <c r="O53" i="4"/>
  <c r="I53" i="4"/>
  <c r="G53" i="4"/>
  <c r="K53" i="4"/>
  <c r="M52" i="4"/>
  <c r="K52" i="4"/>
  <c r="O50" i="4"/>
  <c r="I50" i="4"/>
  <c r="G50" i="4"/>
  <c r="M49" i="4"/>
  <c r="K49" i="4"/>
  <c r="M45" i="4"/>
  <c r="K45" i="4"/>
  <c r="O44" i="4"/>
  <c r="I44" i="4"/>
  <c r="G44" i="4"/>
  <c r="M43" i="4"/>
  <c r="K43" i="4"/>
  <c r="M42" i="4"/>
  <c r="K42" i="4"/>
  <c r="M41" i="4"/>
  <c r="K41" i="4"/>
  <c r="M40" i="4"/>
  <c r="K40" i="4"/>
  <c r="M39" i="4"/>
  <c r="K39" i="4"/>
  <c r="O37" i="4"/>
  <c r="I37" i="4"/>
  <c r="G37" i="4"/>
  <c r="M36" i="4"/>
  <c r="K36" i="4"/>
  <c r="M35" i="4"/>
  <c r="K35" i="4"/>
  <c r="M34" i="4"/>
  <c r="K34" i="4"/>
  <c r="G30" i="4"/>
  <c r="K30" i="4"/>
  <c r="O29" i="4"/>
  <c r="I29" i="4"/>
  <c r="G29" i="4"/>
  <c r="M28" i="4"/>
  <c r="K28" i="4"/>
  <c r="M27" i="4"/>
  <c r="K27" i="4"/>
  <c r="O25" i="4"/>
  <c r="I25" i="4"/>
  <c r="G25" i="4"/>
  <c r="M24" i="4"/>
  <c r="K24" i="4"/>
  <c r="M23" i="4"/>
  <c r="K23" i="4"/>
  <c r="M20" i="4"/>
  <c r="K20" i="4"/>
  <c r="M18" i="4"/>
  <c r="K18" i="4"/>
  <c r="M17" i="4"/>
  <c r="K17" i="4"/>
  <c r="O16" i="4"/>
  <c r="I16" i="4"/>
  <c r="G16" i="4"/>
  <c r="M15" i="4"/>
  <c r="K15" i="4"/>
  <c r="M14" i="4"/>
  <c r="K14" i="4"/>
  <c r="M13" i="4"/>
  <c r="K13" i="4"/>
  <c r="M12" i="4"/>
  <c r="K12" i="4"/>
  <c r="M10" i="4"/>
  <c r="K10" i="4"/>
  <c r="M9" i="4"/>
  <c r="K9" i="4"/>
  <c r="M8" i="4"/>
  <c r="K8" i="4"/>
  <c r="I7" i="4"/>
  <c r="G6" i="4"/>
  <c r="G7" i="4"/>
  <c r="M5" i="4"/>
  <c r="K5" i="4"/>
  <c r="K50" i="4"/>
  <c r="K16" i="4"/>
  <c r="O46" i="4"/>
  <c r="M16" i="4"/>
  <c r="M25" i="4"/>
  <c r="M50" i="4"/>
  <c r="M62" i="4"/>
  <c r="M73" i="4"/>
  <c r="G82" i="6"/>
  <c r="M63" i="6"/>
  <c r="K63" i="6"/>
  <c r="M30" i="4"/>
  <c r="I46" i="4"/>
  <c r="M53" i="4"/>
  <c r="M58" i="4"/>
  <c r="K73" i="4"/>
  <c r="K79" i="4"/>
  <c r="G63" i="5"/>
  <c r="M47" i="5"/>
  <c r="K47" i="5"/>
  <c r="M29" i="4"/>
  <c r="O31" i="4"/>
  <c r="I31" i="4"/>
  <c r="K44" i="4"/>
  <c r="K29" i="4"/>
  <c r="M37" i="4"/>
  <c r="M7" i="4"/>
  <c r="K7" i="4"/>
  <c r="O47" i="4"/>
  <c r="O63" i="4"/>
  <c r="O82" i="4"/>
  <c r="K6" i="4"/>
  <c r="K37" i="4"/>
  <c r="M44" i="4"/>
  <c r="G46" i="4"/>
  <c r="K58" i="4"/>
  <c r="G81" i="4"/>
  <c r="G31" i="4"/>
  <c r="M6" i="4"/>
  <c r="K25" i="4"/>
  <c r="G30" i="3"/>
  <c r="M30" i="3"/>
  <c r="G7" i="3"/>
  <c r="M7" i="3"/>
  <c r="G6" i="3"/>
  <c r="M80" i="3"/>
  <c r="K80" i="3"/>
  <c r="O79" i="3"/>
  <c r="I79" i="3"/>
  <c r="G79" i="3"/>
  <c r="M78" i="3"/>
  <c r="K78" i="3"/>
  <c r="M77" i="3"/>
  <c r="K77" i="3"/>
  <c r="M76" i="3"/>
  <c r="K76" i="3"/>
  <c r="M74" i="3"/>
  <c r="K74" i="3"/>
  <c r="I73" i="3"/>
  <c r="G73" i="3"/>
  <c r="M72" i="3"/>
  <c r="K72" i="3"/>
  <c r="O71" i="3"/>
  <c r="O73" i="3"/>
  <c r="M71" i="3"/>
  <c r="K71" i="3"/>
  <c r="M69" i="3"/>
  <c r="K69" i="3"/>
  <c r="M68" i="3"/>
  <c r="K68" i="3"/>
  <c r="M67" i="3"/>
  <c r="K67" i="3"/>
  <c r="M66" i="3"/>
  <c r="K66" i="3"/>
  <c r="M65" i="3"/>
  <c r="K65" i="3"/>
  <c r="O62" i="3"/>
  <c r="I62" i="3"/>
  <c r="G62" i="3"/>
  <c r="M61" i="3"/>
  <c r="K61" i="3"/>
  <c r="M60" i="3"/>
  <c r="K60" i="3"/>
  <c r="O58" i="3"/>
  <c r="I58" i="3"/>
  <c r="G58" i="3"/>
  <c r="M57" i="3"/>
  <c r="K57" i="3"/>
  <c r="M56" i="3"/>
  <c r="K56" i="3"/>
  <c r="M54" i="3"/>
  <c r="K54" i="3"/>
  <c r="O53" i="3"/>
  <c r="I53" i="3"/>
  <c r="G53" i="3"/>
  <c r="M52" i="3"/>
  <c r="K52" i="3"/>
  <c r="O50" i="3"/>
  <c r="I50" i="3"/>
  <c r="G50" i="3"/>
  <c r="M49" i="3"/>
  <c r="K49" i="3"/>
  <c r="M45" i="3"/>
  <c r="K45" i="3"/>
  <c r="O44" i="3"/>
  <c r="I44" i="3"/>
  <c r="G44" i="3"/>
  <c r="M43" i="3"/>
  <c r="K43" i="3"/>
  <c r="M42" i="3"/>
  <c r="K42" i="3"/>
  <c r="M41" i="3"/>
  <c r="K41" i="3"/>
  <c r="M40" i="3"/>
  <c r="K40" i="3"/>
  <c r="M39" i="3"/>
  <c r="K39" i="3"/>
  <c r="O37" i="3"/>
  <c r="I37" i="3"/>
  <c r="G37" i="3"/>
  <c r="M36" i="3"/>
  <c r="K36" i="3"/>
  <c r="M35" i="3"/>
  <c r="K35" i="3"/>
  <c r="M34" i="3"/>
  <c r="K34" i="3"/>
  <c r="O29" i="3"/>
  <c r="I29" i="3"/>
  <c r="G29" i="3"/>
  <c r="M29" i="3"/>
  <c r="M28" i="3"/>
  <c r="K28" i="3"/>
  <c r="M27" i="3"/>
  <c r="K27" i="3"/>
  <c r="O25" i="3"/>
  <c r="I25" i="3"/>
  <c r="G25" i="3"/>
  <c r="M24" i="3"/>
  <c r="K24" i="3"/>
  <c r="M23" i="3"/>
  <c r="K23" i="3"/>
  <c r="M20" i="3"/>
  <c r="K20" i="3"/>
  <c r="M18" i="3"/>
  <c r="K18" i="3"/>
  <c r="M17" i="3"/>
  <c r="K17" i="3"/>
  <c r="O16" i="3"/>
  <c r="I16" i="3"/>
  <c r="G16" i="3"/>
  <c r="M16" i="3"/>
  <c r="M15" i="3"/>
  <c r="K15" i="3"/>
  <c r="M14" i="3"/>
  <c r="K14" i="3"/>
  <c r="M13" i="3"/>
  <c r="K13" i="3"/>
  <c r="M12" i="3"/>
  <c r="K12" i="3"/>
  <c r="M10" i="3"/>
  <c r="K10" i="3"/>
  <c r="M9" i="3"/>
  <c r="K9" i="3"/>
  <c r="M8" i="3"/>
  <c r="K8" i="3"/>
  <c r="I7" i="3"/>
  <c r="M6" i="3"/>
  <c r="K6" i="3"/>
  <c r="M5" i="3"/>
  <c r="K5" i="3"/>
  <c r="I81" i="3"/>
  <c r="K44" i="3"/>
  <c r="K79" i="3"/>
  <c r="I47" i="4"/>
  <c r="I63" i="4"/>
  <c r="I82" i="4"/>
  <c r="O46" i="3"/>
  <c r="M37" i="3"/>
  <c r="O81" i="3"/>
  <c r="O31" i="3"/>
  <c r="O47" i="3"/>
  <c r="O63" i="3"/>
  <c r="O82" i="3"/>
  <c r="M58" i="3"/>
  <c r="M82" i="6"/>
  <c r="K82" i="6"/>
  <c r="O86" i="6"/>
  <c r="O88" i="6"/>
  <c r="K7" i="3"/>
  <c r="G46" i="3"/>
  <c r="M53" i="3"/>
  <c r="M62" i="3"/>
  <c r="I46" i="3"/>
  <c r="M73" i="3"/>
  <c r="G82" i="5"/>
  <c r="M63" i="5"/>
  <c r="K63" i="5"/>
  <c r="G47" i="4"/>
  <c r="K31" i="4"/>
  <c r="M31" i="4"/>
  <c r="M81" i="4"/>
  <c r="K81" i="4"/>
  <c r="M46" i="4"/>
  <c r="K46" i="4"/>
  <c r="G31" i="3"/>
  <c r="K37" i="3"/>
  <c r="M44" i="3"/>
  <c r="K58" i="3"/>
  <c r="M50" i="3"/>
  <c r="K30" i="3"/>
  <c r="M25" i="3"/>
  <c r="M79" i="3"/>
  <c r="G81" i="3"/>
  <c r="I31" i="3"/>
  <c r="I47" i="3"/>
  <c r="I63" i="3"/>
  <c r="I82" i="3"/>
  <c r="K25" i="3"/>
  <c r="K53" i="3"/>
  <c r="K62" i="3"/>
  <c r="K16" i="3"/>
  <c r="K29" i="3"/>
  <c r="K50" i="3"/>
  <c r="K73" i="3"/>
  <c r="G73" i="2"/>
  <c r="G62" i="2"/>
  <c r="G58" i="2"/>
  <c r="G53" i="2"/>
  <c r="G50" i="2"/>
  <c r="G44" i="2"/>
  <c r="M44" i="2"/>
  <c r="G37" i="2"/>
  <c r="G29" i="2"/>
  <c r="G25" i="2"/>
  <c r="G16" i="2"/>
  <c r="G7" i="2"/>
  <c r="O86" i="2"/>
  <c r="M80" i="2"/>
  <c r="K80" i="2"/>
  <c r="O79" i="2"/>
  <c r="I79" i="2"/>
  <c r="G79" i="2"/>
  <c r="M78" i="2"/>
  <c r="K78" i="2"/>
  <c r="M77" i="2"/>
  <c r="K77" i="2"/>
  <c r="M76" i="2"/>
  <c r="K76" i="2"/>
  <c r="M74" i="2"/>
  <c r="K74" i="2"/>
  <c r="I73" i="2"/>
  <c r="M72" i="2"/>
  <c r="K72" i="2"/>
  <c r="O71" i="2"/>
  <c r="O73" i="2"/>
  <c r="O81" i="2"/>
  <c r="M71" i="2"/>
  <c r="K71" i="2"/>
  <c r="M69" i="2"/>
  <c r="K69" i="2"/>
  <c r="M68" i="2"/>
  <c r="K68" i="2"/>
  <c r="M67" i="2"/>
  <c r="K67" i="2"/>
  <c r="M66" i="2"/>
  <c r="K66" i="2"/>
  <c r="M65" i="2"/>
  <c r="K65" i="2"/>
  <c r="O62" i="2"/>
  <c r="I62" i="2"/>
  <c r="M61" i="2"/>
  <c r="K61" i="2"/>
  <c r="M60" i="2"/>
  <c r="K60" i="2"/>
  <c r="O58" i="2"/>
  <c r="I58" i="2"/>
  <c r="M57" i="2"/>
  <c r="K57" i="2"/>
  <c r="M56" i="2"/>
  <c r="K56" i="2"/>
  <c r="M54" i="2"/>
  <c r="K54" i="2"/>
  <c r="O53" i="2"/>
  <c r="I53" i="2"/>
  <c r="M52" i="2"/>
  <c r="K52" i="2"/>
  <c r="O50" i="2"/>
  <c r="I50" i="2"/>
  <c r="K50" i="2"/>
  <c r="M49" i="2"/>
  <c r="K49" i="2"/>
  <c r="M45" i="2"/>
  <c r="K45" i="2"/>
  <c r="O44" i="2"/>
  <c r="I44" i="2"/>
  <c r="M43" i="2"/>
  <c r="K43" i="2"/>
  <c r="M42" i="2"/>
  <c r="K42" i="2"/>
  <c r="M41" i="2"/>
  <c r="K41" i="2"/>
  <c r="M40" i="2"/>
  <c r="K40" i="2"/>
  <c r="M39" i="2"/>
  <c r="K39" i="2"/>
  <c r="O37" i="2"/>
  <c r="I37" i="2"/>
  <c r="I46" i="2"/>
  <c r="M36" i="2"/>
  <c r="K36" i="2"/>
  <c r="M35" i="2"/>
  <c r="K35" i="2"/>
  <c r="M34" i="2"/>
  <c r="K34" i="2"/>
  <c r="M30" i="2"/>
  <c r="K30" i="2"/>
  <c r="O29" i="2"/>
  <c r="I29" i="2"/>
  <c r="M28" i="2"/>
  <c r="K28" i="2"/>
  <c r="M27" i="2"/>
  <c r="K27" i="2"/>
  <c r="O25" i="2"/>
  <c r="I25" i="2"/>
  <c r="M24" i="2"/>
  <c r="K24" i="2"/>
  <c r="M23" i="2"/>
  <c r="K23" i="2"/>
  <c r="M20" i="2"/>
  <c r="K20" i="2"/>
  <c r="M18" i="2"/>
  <c r="K18" i="2"/>
  <c r="M17" i="2"/>
  <c r="K17" i="2"/>
  <c r="O16" i="2"/>
  <c r="I16" i="2"/>
  <c r="M15" i="2"/>
  <c r="K15" i="2"/>
  <c r="M14" i="2"/>
  <c r="K14" i="2"/>
  <c r="M13" i="2"/>
  <c r="K13" i="2"/>
  <c r="M12" i="2"/>
  <c r="K12" i="2"/>
  <c r="M10" i="2"/>
  <c r="K10" i="2"/>
  <c r="M9" i="2"/>
  <c r="K9" i="2"/>
  <c r="M8" i="2"/>
  <c r="K8" i="2"/>
  <c r="I7" i="2"/>
  <c r="M7" i="2"/>
  <c r="M6" i="2"/>
  <c r="K6" i="2"/>
  <c r="M5" i="2"/>
  <c r="K5" i="2"/>
  <c r="O31" i="2"/>
  <c r="M16" i="2"/>
  <c r="M37" i="2"/>
  <c r="G31" i="2"/>
  <c r="O46" i="2"/>
  <c r="O47" i="2"/>
  <c r="O63" i="2"/>
  <c r="O82" i="2"/>
  <c r="M62" i="2"/>
  <c r="M50" i="2"/>
  <c r="G81" i="2"/>
  <c r="K81" i="2"/>
  <c r="K79" i="2"/>
  <c r="M46" i="3"/>
  <c r="K16" i="2"/>
  <c r="K29" i="2"/>
  <c r="M53" i="2"/>
  <c r="M25" i="2"/>
  <c r="M29" i="2"/>
  <c r="I81" i="2"/>
  <c r="M58" i="2"/>
  <c r="I31" i="2"/>
  <c r="M79" i="2"/>
  <c r="K44" i="2"/>
  <c r="K46" i="3"/>
  <c r="G47" i="3"/>
  <c r="K47" i="3"/>
  <c r="K82" i="5"/>
  <c r="O86" i="5"/>
  <c r="O88" i="5"/>
  <c r="M82" i="5"/>
  <c r="K47" i="4"/>
  <c r="G63" i="4"/>
  <c r="M47" i="4"/>
  <c r="M31" i="3"/>
  <c r="M81" i="3"/>
  <c r="K81" i="3"/>
  <c r="M47" i="3"/>
  <c r="K31" i="3"/>
  <c r="K73" i="2"/>
  <c r="M73" i="2"/>
  <c r="G46" i="2"/>
  <c r="G47" i="2"/>
  <c r="G63" i="2"/>
  <c r="I47" i="2"/>
  <c r="I63" i="2"/>
  <c r="K7" i="2"/>
  <c r="K37" i="2"/>
  <c r="K58" i="2"/>
  <c r="K25" i="2"/>
  <c r="K53" i="2"/>
  <c r="K62" i="2"/>
  <c r="K76" i="1"/>
  <c r="M81" i="2"/>
  <c r="I82" i="2"/>
  <c r="G63" i="3"/>
  <c r="K63" i="3"/>
  <c r="G82" i="4"/>
  <c r="M63" i="4"/>
  <c r="K63" i="4"/>
  <c r="M63" i="3"/>
  <c r="K46" i="2"/>
  <c r="M46" i="2"/>
  <c r="M31" i="2"/>
  <c r="K31" i="2"/>
  <c r="O86" i="1"/>
  <c r="O71" i="1"/>
  <c r="O73" i="1"/>
  <c r="O79" i="1"/>
  <c r="O62" i="1"/>
  <c r="O58" i="1"/>
  <c r="O53" i="1"/>
  <c r="O50" i="1"/>
  <c r="O44" i="1"/>
  <c r="O37" i="1"/>
  <c r="O29" i="1"/>
  <c r="O25" i="1"/>
  <c r="O16" i="1"/>
  <c r="M80" i="1"/>
  <c r="K80" i="1"/>
  <c r="I79" i="1"/>
  <c r="G79" i="1"/>
  <c r="M78" i="1"/>
  <c r="K78" i="1"/>
  <c r="M77" i="1"/>
  <c r="K77" i="1"/>
  <c r="M76" i="1"/>
  <c r="M74" i="1"/>
  <c r="K74" i="1"/>
  <c r="I73" i="1"/>
  <c r="G73" i="1"/>
  <c r="M72" i="1"/>
  <c r="K72" i="1"/>
  <c r="M71" i="1"/>
  <c r="K71" i="1"/>
  <c r="M69" i="1"/>
  <c r="K69" i="1"/>
  <c r="M68" i="1"/>
  <c r="K68" i="1"/>
  <c r="M67" i="1"/>
  <c r="K67" i="1"/>
  <c r="M66" i="1"/>
  <c r="K66" i="1"/>
  <c r="M65" i="1"/>
  <c r="K65" i="1"/>
  <c r="I62" i="1"/>
  <c r="G62" i="1"/>
  <c r="M61" i="1"/>
  <c r="K61" i="1"/>
  <c r="M60" i="1"/>
  <c r="K60" i="1"/>
  <c r="I58" i="1"/>
  <c r="G58" i="1"/>
  <c r="M57" i="1"/>
  <c r="K57" i="1"/>
  <c r="M56" i="1"/>
  <c r="K56" i="1"/>
  <c r="M54" i="1"/>
  <c r="K54" i="1"/>
  <c r="I53" i="1"/>
  <c r="G53" i="1"/>
  <c r="M52" i="1"/>
  <c r="K52" i="1"/>
  <c r="I50" i="1"/>
  <c r="G50" i="1"/>
  <c r="M49" i="1"/>
  <c r="K49" i="1"/>
  <c r="M45" i="1"/>
  <c r="K45" i="1"/>
  <c r="I44" i="1"/>
  <c r="G44" i="1"/>
  <c r="M43" i="1"/>
  <c r="K43" i="1"/>
  <c r="M42" i="1"/>
  <c r="K42" i="1"/>
  <c r="M41" i="1"/>
  <c r="K41" i="1"/>
  <c r="M40" i="1"/>
  <c r="K40" i="1"/>
  <c r="M39" i="1"/>
  <c r="K39" i="1"/>
  <c r="I37" i="1"/>
  <c r="I46" i="1"/>
  <c r="G37" i="1"/>
  <c r="G46" i="1"/>
  <c r="M36" i="1"/>
  <c r="K36" i="1"/>
  <c r="M35" i="1"/>
  <c r="K35" i="1"/>
  <c r="M34" i="1"/>
  <c r="K34" i="1"/>
  <c r="M30" i="1"/>
  <c r="K30" i="1"/>
  <c r="I29" i="1"/>
  <c r="G29" i="1"/>
  <c r="M28" i="1"/>
  <c r="K28" i="1"/>
  <c r="M27" i="1"/>
  <c r="K27" i="1"/>
  <c r="I25" i="1"/>
  <c r="G25" i="1"/>
  <c r="M24" i="1"/>
  <c r="K24" i="1"/>
  <c r="M23" i="1"/>
  <c r="K23" i="1"/>
  <c r="M20" i="1"/>
  <c r="K20" i="1"/>
  <c r="M18" i="1"/>
  <c r="K18" i="1"/>
  <c r="M17" i="1"/>
  <c r="K17" i="1"/>
  <c r="I16" i="1"/>
  <c r="G16" i="1"/>
  <c r="M15" i="1"/>
  <c r="K15" i="1"/>
  <c r="M14" i="1"/>
  <c r="K14" i="1"/>
  <c r="M13" i="1"/>
  <c r="K13" i="1"/>
  <c r="M12" i="1"/>
  <c r="K12" i="1"/>
  <c r="M10" i="1"/>
  <c r="K10" i="1"/>
  <c r="M9" i="1"/>
  <c r="K9" i="1"/>
  <c r="M8" i="1"/>
  <c r="K8" i="1"/>
  <c r="I7" i="1"/>
  <c r="G7" i="1"/>
  <c r="M6" i="1"/>
  <c r="K6" i="1"/>
  <c r="M5" i="1"/>
  <c r="K5" i="1"/>
  <c r="G82" i="3"/>
  <c r="O86" i="3"/>
  <c r="M7" i="1"/>
  <c r="M53" i="1"/>
  <c r="M25" i="1"/>
  <c r="M79" i="1"/>
  <c r="K82" i="4"/>
  <c r="O86" i="4"/>
  <c r="O88" i="4"/>
  <c r="M82" i="4"/>
  <c r="K82" i="3"/>
  <c r="M82" i="3"/>
  <c r="O88" i="3"/>
  <c r="K47" i="2"/>
  <c r="M47" i="2"/>
  <c r="K25" i="1"/>
  <c r="K53" i="1"/>
  <c r="M58" i="1"/>
  <c r="K16" i="1"/>
  <c r="M50" i="1"/>
  <c r="M62" i="1"/>
  <c r="M73" i="1"/>
  <c r="I81" i="1"/>
  <c r="O46" i="1"/>
  <c r="M29" i="1"/>
  <c r="K37" i="1"/>
  <c r="M44" i="1"/>
  <c r="K50" i="1"/>
  <c r="K58" i="1"/>
  <c r="K73" i="1"/>
  <c r="K79" i="1"/>
  <c r="G81" i="1"/>
  <c r="M16" i="1"/>
  <c r="I31" i="1"/>
  <c r="I47" i="1"/>
  <c r="I63" i="1"/>
  <c r="M37" i="1"/>
  <c r="O81" i="1"/>
  <c r="K29" i="1"/>
  <c r="G31" i="1"/>
  <c r="K62" i="1"/>
  <c r="M46" i="1"/>
  <c r="K46" i="1"/>
  <c r="K44" i="1"/>
  <c r="K7" i="1"/>
  <c r="O31" i="1"/>
  <c r="O47" i="1"/>
  <c r="O63" i="1"/>
  <c r="K63" i="2"/>
  <c r="M63" i="2"/>
  <c r="G82" i="2"/>
  <c r="I82" i="1"/>
  <c r="M81" i="1"/>
  <c r="K81" i="1"/>
  <c r="M31" i="1"/>
  <c r="K31" i="1"/>
  <c r="G47" i="1"/>
  <c r="M47" i="1"/>
  <c r="O82" i="1"/>
  <c r="K82" i="2"/>
  <c r="M82" i="2"/>
  <c r="O88" i="2"/>
  <c r="G63" i="1"/>
  <c r="M63" i="1"/>
  <c r="K47" i="1"/>
  <c r="G82" i="1"/>
  <c r="K63" i="1"/>
  <c r="K82" i="1"/>
  <c r="O88" i="1"/>
  <c r="M82" i="1"/>
  <c r="E17" i="24"/>
  <c r="E43" i="24"/>
  <c r="F17" i="24"/>
  <c r="F43" i="24"/>
  <c r="C17" i="24"/>
  <c r="D17" i="24"/>
  <c r="D4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F5" authorId="0" shapeId="0" xr:uid="{E076D140-918B-4953-8AB5-09D9636CE07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F20" authorId="0" shapeId="0" xr:uid="{9AFEF5DB-84A8-403F-9876-355278574B96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F21" authorId="0" shapeId="0" xr:uid="{0D3EBBE4-FA1C-4494-87C9-0B403564665C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Directory Spot</t>
        </r>
      </text>
    </comment>
    <comment ref="F23" authorId="0" shapeId="0" xr:uid="{54396093-15A2-4D2C-9235-92BF8C49AF55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F25" authorId="0" shapeId="0" xr:uid="{AD582CED-5A60-4696-8C14-1BB76571C5C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Olsen</author>
  </authors>
  <commentList>
    <comment ref="C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Includes the printing costs for the activity program, banner and sign costs as well</t>
        </r>
      </text>
    </comment>
    <comment ref="E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$12,800 Income
$827 Excpenses - Printing of activity program, alphagraphics for signs, what a stitch for banners</t>
        </r>
      </text>
    </comment>
    <comment ref="E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Membership Income:$18,100
Expenses $550 for mailing and paypal fees
Income from mgmt of sports passes $1,100</t>
        </r>
      </text>
    </comment>
    <comment ref="E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$825 PFA
$2,72.50 WSC
$1,021 Parking raffle
$500 Grad seat raffle</t>
        </r>
      </text>
    </comment>
    <comment ref="E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Corp matching program</t>
        </r>
      </text>
    </comment>
    <comment ref="E13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Cash at games:
#1 $110
#2 $170
#3 $60
#4 $310
#5 $210
#6 $80
#7 $280
Presales: $2,371.11 (net of paypal fees)</t>
        </r>
      </text>
    </comment>
    <comment ref="E20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Fee to Accoutning firm for annual tax return</t>
        </r>
      </text>
    </comment>
    <comment ref="C2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quickbooks $250 (every other year)
stamps
envelopes</t>
        </r>
      </text>
    </comment>
    <comment ref="E2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Weebly Fee
Constant Contact Fee
Stamps, Envelopes
Retirement cards/bricks</t>
        </r>
      </text>
    </comment>
    <comment ref="E22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Fees based on bank balances</t>
        </r>
      </text>
    </comment>
    <comment ref="E24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Annual AIM Insurance premimum</t>
        </r>
      </text>
    </comment>
    <comment ref="E2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$15 to State of IL for tax filing and $3 to Sec of State</t>
        </r>
      </text>
    </comment>
    <comment ref="E26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only 1 outstanding to pay $2550 for golf bags</t>
        </r>
      </text>
    </comment>
    <comment ref="E29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Confirm with OSC committee each year that this is the same as WN</t>
        </r>
      </text>
    </comment>
    <comment ref="C39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$1000 Post Prom (if not split with WN)
$1500 Freshman Orientation</t>
        </r>
      </text>
    </comment>
    <comment ref="E3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$2000 to main event
OSC refunded this check as it was no longer needed
$400 tshirts for dave
$500 honor award flight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E5" authorId="0" shapeId="0" xr:uid="{E0051C25-AA28-41C2-AEB9-39FD8595E38A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E10" authorId="0" shapeId="0" xr:uid="{BD110475-3D54-4033-A520-6F33BA4DB876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Grad seat raffle
Parking raffle
PE uniforms
</t>
        </r>
      </text>
    </comment>
    <comment ref="E21" authorId="0" shapeId="0" xr:uid="{AFAD180A-A9E8-444A-90FE-37213D89CACA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E22" authorId="0" shapeId="0" xr:uid="{FB16F7D1-134C-4BF9-9FFD-72E28C366636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Directory Spot</t>
        </r>
      </text>
    </comment>
    <comment ref="E24" authorId="0" shapeId="0" xr:uid="{AEEE93AE-CFA6-459B-A558-BB4062ADA8D2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E26" authorId="0" shapeId="0" xr:uid="{8E0BC64B-6D7B-4022-AEE6-335F7E4F7A9E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E5" authorId="0" shapeId="0" xr:uid="{9AB8B3D8-EA60-454E-87B6-1E1FDD5AE17E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E10" authorId="0" shapeId="0" xr:uid="{5E9038CF-035A-42D5-B3C1-2538F2100793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Grad seat raffle
Parking raffle
PE uniforms
</t>
        </r>
      </text>
    </comment>
    <comment ref="E21" authorId="0" shapeId="0" xr:uid="{B5D8FBAE-82F9-4E99-9923-03A1FEBCDC1F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E22" authorId="0" shapeId="0" xr:uid="{8B43317A-2A9F-496E-813D-305B4975F899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Directory Spot</t>
        </r>
      </text>
    </comment>
    <comment ref="E24" authorId="0" shapeId="0" xr:uid="{6FA0F709-6F52-4969-A97C-39947AA38CC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E26" authorId="0" shapeId="0" xr:uid="{2C37A4DD-9A42-450D-A693-657809DDF71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E5" authorId="0" shapeId="0" xr:uid="{FD8D2B0C-A0AF-4815-AF5C-CF17F8763585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E10" authorId="0" shapeId="0" xr:uid="{847B8CF9-2B56-4AB1-85CC-1B3484C6F4F1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Grad seat raffle
Parking raffle
PE uniforms
</t>
        </r>
      </text>
    </comment>
    <comment ref="E21" authorId="0" shapeId="0" xr:uid="{4F5FFECC-0C97-4E9A-BA4A-A4862004D09F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E22" authorId="0" shapeId="0" xr:uid="{ED68CCBB-3564-40DD-A313-D90975F75C11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Directory Spot</t>
        </r>
      </text>
    </comment>
    <comment ref="E24" authorId="0" shapeId="0" xr:uid="{86A2193D-4D29-4EC3-9E49-89E21916F344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E26" authorId="0" shapeId="0" xr:uid="{D26B6802-DA2F-425C-AC3A-C7ADA7B9B7A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E5" authorId="0" shapeId="0" xr:uid="{1E721254-1B10-4FC3-BB57-81175F91B7B2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E10" authorId="0" shapeId="0" xr:uid="{2EBB67E9-BBA4-4EF5-8D23-9C76F6A0C7E0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Grad seat raffle
Parking raffle
PE uniforms
</t>
        </r>
      </text>
    </comment>
    <comment ref="E21" authorId="0" shapeId="0" xr:uid="{6453385D-3202-440D-A5C9-088B5BC71C08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E22" authorId="0" shapeId="0" xr:uid="{90C2AC83-B0D3-4D47-AB69-C992C94C0C90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Directory Spot</t>
        </r>
      </text>
    </comment>
    <comment ref="E24" authorId="0" shapeId="0" xr:uid="{0B808F0D-DF41-4E49-B9D8-486188D2CB75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E26" authorId="0" shapeId="0" xr:uid="{AED565C1-258B-4624-9872-F4664D2EB04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E5" authorId="0" shapeId="0" xr:uid="{87B8309A-B60B-49D6-825C-2674E71BF230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E10" authorId="0" shapeId="0" xr:uid="{F19E7C34-E70E-43AA-99A2-D76A19A92D78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Grad seat raffle
Parking raffle
PE uniforms
</t>
        </r>
      </text>
    </comment>
    <comment ref="E21" authorId="0" shapeId="0" xr:uid="{6DFB39B3-D784-470F-A3B5-F69589BB6B98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E22" authorId="0" shapeId="0" xr:uid="{9537AC81-50CE-4F5D-B17D-ECD484C8ECED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Directory Spot</t>
        </r>
      </text>
    </comment>
    <comment ref="E24" authorId="0" shapeId="0" xr:uid="{6A70F9E0-E2E3-43B6-9551-F16F4C895FBD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E26" authorId="0" shapeId="0" xr:uid="{4F1FA4BB-9855-441B-9DCA-59BBB17FDECA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Gniadek</author>
  </authors>
  <commentList>
    <comment ref="D5" authorId="0" shapeId="0" xr:uid="{C53B8C40-4F24-40EC-A21C-DF78D6E9DC6A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program, banner and signs and Sponsorship</t>
        </r>
      </text>
    </comment>
    <comment ref="D7" authorId="0" shapeId="0" xr:uid="{36B400DA-953E-4949-9CF7-2CD0CCA50063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Grad seat raffle
Parking raffle
PE uniforms
</t>
        </r>
      </text>
    </comment>
    <comment ref="D18" authorId="0" shapeId="0" xr:uid="{986A89BE-165E-45AF-AB36-A960F5AAE2B0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Accounting firm for tax prep</t>
        </r>
      </text>
    </comment>
    <comment ref="D19" authorId="0" shapeId="0" xr:uid="{C0E45687-CF35-4CA3-AA46-BEEEE88148FB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Costco membership
Constant Contact fees
supplies/copies
</t>
        </r>
      </text>
    </comment>
    <comment ref="D21" authorId="0" shapeId="0" xr:uid="{5FCC126A-2ADF-4F90-9487-C6C2B54F451A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AIM insurance
</t>
        </r>
      </text>
    </comment>
    <comment ref="D23" authorId="0" shapeId="0" xr:uid="{5CD05996-FC45-4973-9876-5C0FCD5B2E3C}">
      <text>
        <r>
          <rPr>
            <b/>
            <sz val="9"/>
            <color indexed="81"/>
            <rFont val="Tahoma"/>
            <family val="2"/>
          </rPr>
          <t>Helene Gniadek:</t>
        </r>
        <r>
          <rPr>
            <sz val="9"/>
            <color indexed="81"/>
            <rFont val="Tahoma"/>
            <family val="2"/>
          </rPr>
          <t xml:space="preserve">
Non-profit tax filings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Olsen</author>
  </authors>
  <commentList>
    <comment ref="F5" authorId="0" shapeId="0" xr:uid="{0C0F685C-7926-465E-8AD9-016F25DC314E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$12,800 Income
$827 Excpenses - Printing of activity program, alphagraphics for signs, what a stitch for banners</t>
        </r>
      </text>
    </comment>
    <comment ref="H5" authorId="0" shapeId="0" xr:uid="{1AEC4221-2372-4B1A-9362-FCDD3FE5FD69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Includes the printing costs for the activity program, banner and sign costs as well</t>
        </r>
      </text>
    </comment>
    <comment ref="F7" authorId="0" shapeId="0" xr:uid="{53254314-7983-4FAF-9836-3A6879D5E08D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Membership Income:$18,100
Expenses $550 for mailing and paypal fees
Income from mgmt of sports passes $1,100</t>
        </r>
      </text>
    </comment>
    <comment ref="F8" authorId="0" shapeId="0" xr:uid="{31EF1C15-6EE2-42E9-91A6-37EA6538E762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$825 PFA
$2,72.50 WSC
$1,021 Parking raffle
$500 Grad seat raffle</t>
        </r>
      </text>
    </comment>
    <comment ref="F9" authorId="0" shapeId="0" xr:uid="{68628887-6600-4A52-80D6-2E313C006B41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Corp matching program</t>
        </r>
      </text>
    </comment>
    <comment ref="F13" authorId="0" shapeId="0" xr:uid="{601685DF-08F6-4EE7-8614-40A5285341B5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Cash at games:
#1 $110
#2 $170
#3 $60
#4 $310
#5 $210
#6 $80
#7 $280
Presales: $2,371.11 (net of paypal fees)</t>
        </r>
      </text>
    </comment>
    <comment ref="F20" authorId="0" shapeId="0" xr:uid="{55E6BC50-2AE8-4640-B7C5-A03D8A21B193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Fee to Accoutning firm for annual tax return</t>
        </r>
      </text>
    </comment>
    <comment ref="F21" authorId="0" shapeId="0" xr:uid="{CCD1982D-32FC-4B18-9782-9BE20DD6482D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Weebly Fee
Constant Contact Fee
Stamps, Envelopes
Retirement cards/bricks</t>
        </r>
      </text>
    </comment>
    <comment ref="H21" authorId="0" shapeId="0" xr:uid="{D5F5DF2C-FEAC-4885-8859-539D17BB57C8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quickbooks $250 (every other year)
stamps
envelopes</t>
        </r>
      </text>
    </comment>
    <comment ref="F22" authorId="0" shapeId="0" xr:uid="{2ED1536E-255C-418E-BA86-0E67817DDD33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Fees based on bank balances</t>
        </r>
      </text>
    </comment>
    <comment ref="F24" authorId="0" shapeId="0" xr:uid="{B5955EE5-E626-409B-A92D-D12EF32F5CE7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Annual AIM Insurance premimum</t>
        </r>
      </text>
    </comment>
    <comment ref="F25" authorId="0" shapeId="0" xr:uid="{6130AC1B-61D3-46A8-A2F8-D25AEA226B1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$15 to State of IL for tax filing and $3 to Sec of State</t>
        </r>
      </text>
    </comment>
    <comment ref="F26" authorId="0" shapeId="0" xr:uid="{EFB738D5-0635-4D30-AE7C-A0BD6454FC88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only 1 outstanding to pay $2550 for golf bags</t>
        </r>
      </text>
    </comment>
    <comment ref="F29" authorId="0" shapeId="0" xr:uid="{BD504C65-D65F-43F7-BCA7-951CB5817EAF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Confirm with OSC committee each year that this is the same as WN</t>
        </r>
      </text>
    </comment>
    <comment ref="D39" authorId="0" shapeId="0" xr:uid="{E773A98A-E3C6-4560-AE8A-3EE88A4DEEC2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$2000 to main event
OSC refunded this check as it was no longer needed
$400 tshirts for dave
$500 honor award flight</t>
        </r>
      </text>
    </comment>
    <comment ref="F39" authorId="0" shapeId="0" xr:uid="{7A7938BE-7AE3-4B00-BE93-C455B99E67DB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$2000 to main event
OSC refunded this check as it was no longer needed
$400 tshirts for dave
$500 honor award flight</t>
        </r>
      </text>
    </comment>
    <comment ref="H39" authorId="0" shapeId="0" xr:uid="{5EDEA08B-CF8A-4426-9193-56134D03BCBC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$1000 Post Prom (if not split with WN)
$1500 Freshman Orientation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Olsen</author>
  </authors>
  <commentList>
    <comment ref="F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$12,800 Income
$827 Excpenses - Printing of activity program, alphagraphics for signs, what a stitch for banners</t>
        </r>
      </text>
    </comment>
    <comment ref="H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Includes the printing costs for the activity program, banner and sign costs as well</t>
        </r>
      </text>
    </comment>
    <comment ref="F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Membership Income:$18,100
Expenses $550 for mailing and paypal fees
Income from mgmt of sports passes $1,100</t>
        </r>
      </text>
    </comment>
    <comment ref="F8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$825 PFA
$2,72.50 WSC
$1,021 Parking raffle
$500 Grad seat raffle</t>
        </r>
      </text>
    </comment>
    <comment ref="F9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Corp matching program</t>
        </r>
      </text>
    </comment>
    <comment ref="F13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Cash at games:
#1 $110
#2 $170
#3 $60
#4 $310
#5 $210
#6 $80
#7 $280
Presales: $2,371.11 (net of paypal fees)</t>
        </r>
      </text>
    </comment>
    <comment ref="F20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Fee to Accoutning firm for annual tax return</t>
        </r>
      </text>
    </comment>
    <comment ref="F2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Weebly Fee
Constant Contact Fee
Stamps, Envelopes
Retirement cards/bricks</t>
        </r>
      </text>
    </comment>
    <comment ref="H2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quickbooks $250 (every other year)
stamps
envelopes</t>
        </r>
      </text>
    </comment>
    <comment ref="F2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Fees based on bank balances</t>
        </r>
      </text>
    </comment>
    <comment ref="F24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Annual AIM Insurance premimum</t>
        </r>
      </text>
    </comment>
    <comment ref="F25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$15 to State of IL for tax filing and $3 to Sec of State</t>
        </r>
      </text>
    </comment>
    <comment ref="F26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only 1 outstanding to pay $2550 for golf bags</t>
        </r>
      </text>
    </comment>
    <comment ref="F29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Confirm with OSC committee each year that this is the same as WN</t>
        </r>
      </text>
    </comment>
    <comment ref="D39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$2000 to main event
OSC refunded this check as it was no longer needed
$400 tshirts for dave
$500 honor award flight</t>
        </r>
      </text>
    </comment>
    <comment ref="F39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$2000 to main event
OSC refunded this check as it was no longer needed
$400 tshirts for dave
$500 honor award flight</t>
        </r>
      </text>
    </comment>
    <comment ref="H39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Aimee Olsen:</t>
        </r>
        <r>
          <rPr>
            <sz val="8"/>
            <color indexed="81"/>
            <rFont val="Tahoma"/>
            <family val="2"/>
          </rPr>
          <t xml:space="preserve">
$1000 Post Prom (if not split with WN)
$1500 Freshman Orientation</t>
        </r>
      </text>
    </comment>
  </commentList>
</comments>
</file>

<file path=xl/sharedStrings.xml><?xml version="1.0" encoding="utf-8"?>
<sst xmlns="http://schemas.openxmlformats.org/spreadsheetml/2006/main" count="1567" uniqueCount="332">
  <si>
    <t>Jul '17 - Jun 18</t>
  </si>
  <si>
    <t>Jul '16 - Jun 17</t>
  </si>
  <si>
    <t>$ Change</t>
  </si>
  <si>
    <t>% Change</t>
  </si>
  <si>
    <t>Income</t>
  </si>
  <si>
    <t>ACTIVITY PROGRAMS</t>
  </si>
  <si>
    <t>Expense</t>
  </si>
  <si>
    <t>Total ACTIVITY PROGRAMS</t>
  </si>
  <si>
    <t>Donation for Kroehnke mem fund</t>
  </si>
  <si>
    <t>Fall Fundraiser (5K or Trivia)</t>
  </si>
  <si>
    <t>INTEREST</t>
  </si>
  <si>
    <t>MEMBERSHIP</t>
  </si>
  <si>
    <t>Sports Pass Expense</t>
  </si>
  <si>
    <t>Sports Pass Income</t>
  </si>
  <si>
    <t>Total MEMBERSHIP</t>
  </si>
  <si>
    <t>Other Fund Raisers</t>
  </si>
  <si>
    <t>OTHER INCOME</t>
  </si>
  <si>
    <t>OUTDOOR CONCESSIONS</t>
  </si>
  <si>
    <t>Capital Expense</t>
  </si>
  <si>
    <t>FALL CONCESSIONS</t>
  </si>
  <si>
    <t>FALL FOOTBALL CONCESSIONS</t>
  </si>
  <si>
    <t>Fall Football Expenses</t>
  </si>
  <si>
    <t>Fall Football INCOME</t>
  </si>
  <si>
    <t>Total FALL FOOTBALL CONCESSIONS</t>
  </si>
  <si>
    <t>FALL SOCCER CONCESSIONS</t>
  </si>
  <si>
    <t>Outdoor Fall Soccer Expense</t>
  </si>
  <si>
    <t>Outdoor Fall Soccer Income</t>
  </si>
  <si>
    <t>Total FALL SOCCER CONCESSIONS</t>
  </si>
  <si>
    <t>FALL CONCESSIONS - Other</t>
  </si>
  <si>
    <t>Total FALL CONCESSIONS</t>
  </si>
  <si>
    <t>Spring Concessions</t>
  </si>
  <si>
    <t>Outdoor Spring Expense</t>
  </si>
  <si>
    <t>Boys Track</t>
  </si>
  <si>
    <t>Girls Track</t>
  </si>
  <si>
    <t>Outdoor Spring Expense - Other</t>
  </si>
  <si>
    <t>Total Outdoor Spring Expense</t>
  </si>
  <si>
    <t>Outdoor Spring Income</t>
  </si>
  <si>
    <t>Boys LaCrosse</t>
  </si>
  <si>
    <t>Girls Soccer</t>
  </si>
  <si>
    <t>Outdoor Spring Income - Other</t>
  </si>
  <si>
    <t>Total Outdoor Spring Income</t>
  </si>
  <si>
    <t>Spring Concessions - Other</t>
  </si>
  <si>
    <t>Total Spring Concessions</t>
  </si>
  <si>
    <t>Total OUTDOOR CONCESSIONS</t>
  </si>
  <si>
    <t>RESERVED PARKING</t>
  </si>
  <si>
    <t>Total RESERVED PARKING</t>
  </si>
  <si>
    <t>RESERVED SEATING - FOOTBALL</t>
  </si>
  <si>
    <t>Total RESERVED SEATING - FOOTBALL</t>
  </si>
  <si>
    <t>Sweem Memorial Fund</t>
  </si>
  <si>
    <t>TIGER WEAR Merchandise</t>
  </si>
  <si>
    <t>Total TIGER WEAR Merchandise</t>
  </si>
  <si>
    <t>TRADITION TRAIL</t>
  </si>
  <si>
    <t>Total TRADITION TRAIL</t>
  </si>
  <si>
    <t>Total Income</t>
  </si>
  <si>
    <t>ADMINISTRATIVE</t>
  </si>
  <si>
    <t>ALLOCATIONS-MISC</t>
  </si>
  <si>
    <t>BEAUTIFICATION</t>
  </si>
  <si>
    <t>FACULTY &amp; STAFF APPRECIATION</t>
  </si>
  <si>
    <t>OPERATION SAFE CELEBRATION</t>
  </si>
  <si>
    <t>PARENT ACTIVITIES &amp; HOSPITALITY</t>
  </si>
  <si>
    <t>Mother/Son Brunch</t>
  </si>
  <si>
    <t>Total PARENT ACTIVITIES &amp; HOSPITALITY</t>
  </si>
  <si>
    <t>SCHOOL EQUIPMENT</t>
  </si>
  <si>
    <t>STUDENT ACADEMIC ACHIEVEMENT</t>
  </si>
  <si>
    <t>Honor Roll Scholarship Lamps</t>
  </si>
  <si>
    <t>Scholarships</t>
  </si>
  <si>
    <t>Standardized Test Snacks</t>
  </si>
  <si>
    <t>Total STUDENT ACADEMIC ACHIEVEMENT</t>
  </si>
  <si>
    <t>STUDENT ACTIVITIES &amp; SUPPORT</t>
  </si>
  <si>
    <t>Total Expense</t>
  </si>
  <si>
    <t>Net Income</t>
  </si>
  <si>
    <t>CURRICULUM NIGHT &amp; Homecoming</t>
  </si>
  <si>
    <t>Budget '17-18</t>
  </si>
  <si>
    <t>NOTES:</t>
  </si>
  <si>
    <t>Missing 3 checks for a total of $</t>
  </si>
  <si>
    <t>Cancelled for Fall - to discuss future ideas</t>
  </si>
  <si>
    <t>PayPal to deposit $3k, approx $9k due to CUSD total approx $18.2 to date</t>
  </si>
  <si>
    <t>WSC - PE Uniform incentive payment in 2017</t>
  </si>
  <si>
    <t>Company matching program donation</t>
  </si>
  <si>
    <t>Refigerator for Concessions</t>
  </si>
  <si>
    <t>at WN game, $6.2k gross 9/15</t>
  </si>
  <si>
    <t>FB Concessions report from Denise $10k in gross</t>
  </si>
  <si>
    <t>To discuss</t>
  </si>
  <si>
    <t>From prior year - DVC meeting (Glenbard North)</t>
  </si>
  <si>
    <t>well on target to exceed</t>
  </si>
  <si>
    <t>Seating down year over year</t>
  </si>
  <si>
    <t>Naperville running company to Sweem family</t>
  </si>
  <si>
    <t>Curriculum Night sales high - sales on track to exceed budget</t>
  </si>
  <si>
    <t>Paid final 2 payments for scoreboard - to discuss advertising</t>
  </si>
  <si>
    <t>Costco Rebate</t>
  </si>
  <si>
    <t>2 Home games left (Homecoming and Senior Night)</t>
  </si>
  <si>
    <t xml:space="preserve"> </t>
  </si>
  <si>
    <t xml:space="preserve">The $4k budget too high - pkg spots only 70 total at $40 each is$2,800 max reserved…revise next year </t>
  </si>
  <si>
    <t>Check Figures:</t>
  </si>
  <si>
    <t>7/1/17 Cash</t>
  </si>
  <si>
    <t>YTD Net Income</t>
  </si>
  <si>
    <t>9/19/2017 Ending Cash</t>
  </si>
  <si>
    <t>10/22/2017 Ending Cash</t>
  </si>
  <si>
    <t>Insurance renewal $590</t>
  </si>
  <si>
    <t>Approx $9k due to CUSD total approx $18.3 to date</t>
  </si>
  <si>
    <t>YEAH - already ahead of budget</t>
  </si>
  <si>
    <t>Add'l $500 coming and Northwestern missing for $1000</t>
  </si>
  <si>
    <t>ADMINISTRATIVE AND ACCOUNTING</t>
  </si>
  <si>
    <t>1/16/18 Ending Cash</t>
  </si>
  <si>
    <t>will be close - 2/1/17-6/30/17 was net $5k</t>
  </si>
  <si>
    <t>Allocations all paid (approved $14,541.83), library hanging art went over approval - move to approve this overage</t>
  </si>
  <si>
    <t>2/20/18 Ending Cash</t>
  </si>
  <si>
    <t>Tiger Wear will be close - 3/1/17-6/30/17 was net $3.1k, if this is the case again should finish at budget and about $1.1 less than prior year.</t>
  </si>
  <si>
    <t>3/13/18 Ending Cash</t>
  </si>
  <si>
    <t>Tiger Wear will be close - 4/1/17-6/30/17 was net $2.7k, if this is the case again should finish at budget and about $1.1 less than prior year.</t>
  </si>
  <si>
    <t>PFA $2.6k and WSC $1.6k</t>
  </si>
  <si>
    <t>Need to discuss with Sweem family on allocation to track team by 6/30/18</t>
  </si>
  <si>
    <t>Approved allocations approx $30k to date, not all expenses from winter in. - Math and SS included here for 2nd round.  All 1st round paid</t>
  </si>
  <si>
    <t>4/15/18 Ending Cash</t>
  </si>
  <si>
    <t>Tiger Wear will be close - 4/15/17-6/30/17 was net $2.3k, if this is the case again should finish at budget and about $500 less than prior year.</t>
  </si>
  <si>
    <t>Concessions made approx. $8k from this thru 6/30 PY, hope to pick up $5k in income for this spring</t>
  </si>
  <si>
    <t>If we pick up $5k concessions and $2k tigerwear, then we should be ahead of budget</t>
  </si>
  <si>
    <t>ACTIVITY PROGRAMS - Other</t>
  </si>
  <si>
    <t>Accounting fees</t>
  </si>
  <si>
    <t>Administrative</t>
  </si>
  <si>
    <t>Bank fees</t>
  </si>
  <si>
    <t>Crossover Dinner</t>
  </si>
  <si>
    <t>Insurance</t>
  </si>
  <si>
    <t>Tax Filings</t>
  </si>
  <si>
    <t>ADMINISTRATIVE - Other</t>
  </si>
  <si>
    <t>Total ADMINISTRATIVE</t>
  </si>
  <si>
    <t>CURRICULUM NIGHT</t>
  </si>
  <si>
    <t>PARENT ACTIVITIES &amp; HOSPITALITY - Other</t>
  </si>
  <si>
    <t>Actual Financials</t>
  </si>
  <si>
    <t>Jul '18 - Jun 19</t>
  </si>
  <si>
    <t>PROPOSED BUDGET</t>
  </si>
  <si>
    <t>actual will be $35,630</t>
  </si>
  <si>
    <t>Scoreboard</t>
  </si>
  <si>
    <t xml:space="preserve">     Expense</t>
  </si>
  <si>
    <t xml:space="preserve">     Income</t>
  </si>
  <si>
    <t>Fall Fundraiser</t>
  </si>
  <si>
    <t>Concession stand upgrades</t>
  </si>
  <si>
    <t xml:space="preserve">     Fall Football Expenses</t>
  </si>
  <si>
    <t xml:space="preserve">     Fall Football INCOME</t>
  </si>
  <si>
    <t xml:space="preserve">     Outdoor Fall Soccer Expense</t>
  </si>
  <si>
    <t xml:space="preserve">     Outdoor Fall Soccer Income</t>
  </si>
  <si>
    <t xml:space="preserve">  Boys Track</t>
  </si>
  <si>
    <t xml:space="preserve">  Girls Track</t>
  </si>
  <si>
    <t xml:space="preserve">  Outdoor Spring Expense - Other</t>
  </si>
  <si>
    <t xml:space="preserve">  Boys LaCrosse</t>
  </si>
  <si>
    <t xml:space="preserve">  Girls Soccer</t>
  </si>
  <si>
    <t xml:space="preserve">  Outdoor Spring Income - Other</t>
  </si>
  <si>
    <t>MOTHER/SON BRUNCH</t>
  </si>
  <si>
    <t>new venue</t>
  </si>
  <si>
    <t>price increase</t>
  </si>
  <si>
    <t>lower due to donations in spring 2018</t>
  </si>
  <si>
    <t>1000 for fresh orientation, 1000 for prizes at post prom, 500 gym jam, 500 discresion</t>
  </si>
  <si>
    <t>raise fees $5 per membership</t>
  </si>
  <si>
    <t>PE Uniforms/PFA/grad seats/pkg spot</t>
  </si>
  <si>
    <t>6/30/18 Ending Cash</t>
  </si>
  <si>
    <t>9/9/18 Ending Cash</t>
  </si>
  <si>
    <t>2018-2019 Budget</t>
  </si>
  <si>
    <t>363 members - approx $8400 to cusd, now approx $16,800</t>
  </si>
  <si>
    <t>Total Fall Budget $14,500, on target</t>
  </si>
  <si>
    <t>PE Uniforms/PFA/grad seats/pkg spot (Sept, Oct, Feb, May)</t>
  </si>
  <si>
    <t>COMMENTS</t>
  </si>
  <si>
    <t>TIGER PAWS - SEPT 2018 TREASURER'S REPORT</t>
  </si>
  <si>
    <t>Ahead of budget - sold indoor advertising as well</t>
  </si>
  <si>
    <t>Great year - not sure why</t>
  </si>
  <si>
    <t>Seating way down - it just isn't necessary but a nice service</t>
  </si>
  <si>
    <t>Prior year to date $(11,864), $3k more in expenses to date</t>
  </si>
  <si>
    <t>budget includes post prom items</t>
  </si>
  <si>
    <t>TIGER PAWS - NOV 2018 TREASURER'S REPORT</t>
  </si>
  <si>
    <t>$1,300 for tax return filing - in line with prior year to date</t>
  </si>
  <si>
    <t>based on concessions stands, increase by $20 to $60k</t>
  </si>
  <si>
    <t>11/12/18 Ending Cash</t>
  </si>
  <si>
    <t>Done for year</t>
  </si>
  <si>
    <t>363 members - approx $8400 to cusd, now approx $17k; looking to be $3k short of budget</t>
  </si>
  <si>
    <t xml:space="preserve">PFA $825/PE $2,072.50, should be on budget </t>
  </si>
  <si>
    <t>should run above budget with track; spring s/b $5-6k</t>
  </si>
  <si>
    <t>Prior year to date $(3,218), $5k more in expenses to date; hope to bring in $11k income thru end of year; may fall short</t>
  </si>
  <si>
    <t xml:space="preserve">     - proposing new expense budget of $83.1k</t>
  </si>
  <si>
    <t>Trending to finish at $67.2k Total Income</t>
  </si>
  <si>
    <t xml:space="preserve">     - proposing new total loss of $15.9k; using excess cash</t>
  </si>
  <si>
    <t xml:space="preserve">     potentially ending the year with $43.6k in cash reserve</t>
  </si>
  <si>
    <t>TIGER PAWS - FEB 2019 TREASURER'S REPORT</t>
  </si>
  <si>
    <t>2/11/19 Ending Cash</t>
  </si>
  <si>
    <t>Benevity Cause - Matching Donation</t>
  </si>
  <si>
    <t>aimee's est</t>
  </si>
  <si>
    <t>approx $8400 due to cusd, should be right on budget</t>
  </si>
  <si>
    <t>Trending to finish at $70k Total Income</t>
  </si>
  <si>
    <t>potentially ending the year with $46.9k in cash reserve</t>
  </si>
  <si>
    <t>Trending $7k ahead of budget, to net $(12.7)k</t>
  </si>
  <si>
    <t>based on concessions stands, increase by $20 to $60k - voted to approve this increase at Nov 2018 meeting, fall approved allocations $25k, only $9.2k paid to date.</t>
  </si>
  <si>
    <t>4/16/19 Ending Cash</t>
  </si>
  <si>
    <t>Scholarships and Testing Day Snacks</t>
  </si>
  <si>
    <t>TIGER PAWS - APR 2019 TREASURER'S REPORT</t>
  </si>
  <si>
    <t>Done for the year - Great Job Michelle Triscik</t>
  </si>
  <si>
    <t>Fell short due to additional costs related that were unexpected</t>
  </si>
  <si>
    <t>This should continue to rise with track season just starting - Awesome Job Concessions!</t>
  </si>
  <si>
    <t>Playoffs helped</t>
  </si>
  <si>
    <t>Not as popular as in prior years</t>
  </si>
  <si>
    <t>Outstanding to pay - will finish up around $41.3k</t>
  </si>
  <si>
    <t>Watch for the tulips to come up this spring :)</t>
  </si>
  <si>
    <t>Just concluded - bills to be submitted</t>
  </si>
  <si>
    <t>Prior year was the final scoreboard payment</t>
  </si>
  <si>
    <t>TigerWear will continue to sell current inventory - hopefully will break even or a little profit. Also, graduation sign profit coming in.</t>
  </si>
  <si>
    <t>OUTDOOR FALL CONCESSIONS</t>
  </si>
  <si>
    <t>OUTDOOR SPRING CONCESSIONS</t>
  </si>
  <si>
    <t>CAPITAL EXP CONCESSIONS</t>
  </si>
  <si>
    <t>MISCELLANEOUS</t>
  </si>
  <si>
    <t>esitmated 7/1/19 cash</t>
  </si>
  <si>
    <t>7/1/18 Cash</t>
  </si>
  <si>
    <t>estimated 7/1/19 cash balance</t>
  </si>
  <si>
    <t>estimate 19-20 net income</t>
  </si>
  <si>
    <t>estimated 6/30/20 ending cash</t>
  </si>
  <si>
    <t xml:space="preserve">      Tax Filings</t>
  </si>
  <si>
    <t xml:space="preserve">      Insurance</t>
  </si>
  <si>
    <t xml:space="preserve">      Crossover Dinner</t>
  </si>
  <si>
    <t xml:space="preserve">      Bank fees</t>
  </si>
  <si>
    <t xml:space="preserve">      Administrative</t>
  </si>
  <si>
    <t xml:space="preserve">      Accounting fees</t>
  </si>
  <si>
    <t xml:space="preserve">      Honor Roll Scholarship Lamps</t>
  </si>
  <si>
    <t xml:space="preserve">      Scholarships</t>
  </si>
  <si>
    <t xml:space="preserve">      Standardized Test Snacks</t>
  </si>
  <si>
    <t xml:space="preserve">      Curriculum Night</t>
  </si>
  <si>
    <t xml:space="preserve">      Mother/Son Brunch</t>
  </si>
  <si>
    <t>Tabs in this workbook include detail from 2017-2018 &amp; 2018-2019</t>
  </si>
  <si>
    <t>ACTUAL BUDGET</t>
  </si>
  <si>
    <t>Jul '18 - Jun 19 (revised actual as of 5/31/19)</t>
  </si>
  <si>
    <t>5/31/19 Ending Cash</t>
  </si>
  <si>
    <t>TIGER PAWS - FINAL YEAR-END 2018-2019 TREASURER'S REPORT</t>
  </si>
  <si>
    <t>6/30/19 Ending Cash</t>
  </si>
  <si>
    <t>TIGER PAWS - 2019 TREASURER'S REPORT - As of July 22, 2019</t>
  </si>
  <si>
    <t>2019-2020 Budget (PROPOSED) 7/22/19</t>
  </si>
  <si>
    <t>7/1/19 Cash</t>
  </si>
  <si>
    <t>TIGER PAWS - 2019 TREASURER'S REPORT - September 9, 2019</t>
  </si>
  <si>
    <t>2019-2020 Budget</t>
  </si>
  <si>
    <t>Jul '18 -     Jun 19 Actuals</t>
  </si>
  <si>
    <t>Jul '19 -     Jun 20 Actuals</t>
  </si>
  <si>
    <t>Thank you Michelle T!</t>
  </si>
  <si>
    <t>We are preparing for the first football game (9/27)</t>
  </si>
  <si>
    <t>Income = $9,114.00</t>
  </si>
  <si>
    <t>Checking Chase</t>
  </si>
  <si>
    <t>Savings Chase</t>
  </si>
  <si>
    <t>Checking Wintrust</t>
  </si>
  <si>
    <t>Savings Wintrust</t>
  </si>
  <si>
    <t>Total Cash</t>
  </si>
  <si>
    <t>315 Members; $8,400 for sports passes to CUSD</t>
  </si>
  <si>
    <t>Freshman Orientation</t>
  </si>
  <si>
    <t>9/9/19 Ending Cash</t>
  </si>
  <si>
    <t>CASH BALANCES as of 9/9/19:</t>
  </si>
  <si>
    <t>TIGER PAWS - 2019 TREASURER'S REPORT - November 12, 2019</t>
  </si>
  <si>
    <t>11/11/19 Ending Cash</t>
  </si>
  <si>
    <t>CASH BALANCES as of11/11/19:</t>
  </si>
  <si>
    <t>School Marquee</t>
  </si>
  <si>
    <t>408 Members; approx $9,600 for sports passes to CUSD</t>
  </si>
  <si>
    <t>Playoff game 11/16</t>
  </si>
  <si>
    <t>Income = $19,381</t>
  </si>
  <si>
    <t>TIGER PAWS - 2020 TREASURER'S REPORT - June 30, 2020</t>
  </si>
  <si>
    <t>6/30/20 Ending Cash</t>
  </si>
  <si>
    <t>COVID-19 Food Insecurity Fund ($1,000) and Pixellot Camera installation (WWS Athletics, $1,250)</t>
  </si>
  <si>
    <t>Need to budget for retirees</t>
  </si>
  <si>
    <t>TIGER PAWS - 2020 TREASURER'S REPORT - Budget Planning 2020-2021</t>
  </si>
  <si>
    <t>2019-20 COMMENTS</t>
  </si>
  <si>
    <t>Notes for 2020 - 2021 Budget Review</t>
  </si>
  <si>
    <t>Recommend putting any $$ in Spring Concessions</t>
  </si>
  <si>
    <t>20% capacity?  (using last year's budget = 4,000?)</t>
  </si>
  <si>
    <t>SENIOR GRAD SIGNS</t>
  </si>
  <si>
    <t>2019 = $600 profit; 2020 = $2000 profit</t>
  </si>
  <si>
    <t>11/19 fee was $1380</t>
  </si>
  <si>
    <t>Quickbooks update = $325</t>
  </si>
  <si>
    <t>Constant Contact = $539; Costco??  Copies = $100</t>
  </si>
  <si>
    <t>We donated and they didn't use; roll to 2021</t>
  </si>
  <si>
    <t>Held donation for this year</t>
  </si>
  <si>
    <t>Will depend on spring attendance</t>
  </si>
  <si>
    <t>$1250 for freshman masks.  Propose increasing for other donations/activities this year.</t>
  </si>
  <si>
    <t>SPONSORSHIP</t>
  </si>
  <si>
    <t>Current sale was $1800; planning holiday sale and then spring TBD</t>
  </si>
  <si>
    <t>7/1/20 Cash</t>
  </si>
  <si>
    <t>6/30/21 Ending Cash</t>
  </si>
  <si>
    <t>CASH BALANCES as of 6/30/20:</t>
  </si>
  <si>
    <t>2020-2021 
Budget (proposed)</t>
  </si>
  <si>
    <t>Jul 2019 - Jun 2020 Actuals</t>
  </si>
  <si>
    <t>Jul 2018 - Jun 2019 Actuals</t>
  </si>
  <si>
    <t>2019-20:  414 Members; $9,151.37 for sports passes to CUSD</t>
  </si>
  <si>
    <t xml:space="preserve">as of 8/20 we have $3885 in sponsorships (expect at least $4335).  </t>
  </si>
  <si>
    <t xml:space="preserve">      Interest</t>
  </si>
  <si>
    <t>2019-20:  Reindeer run; PE uniforms; Hello College; others</t>
  </si>
  <si>
    <t>History:  grad seat = $500; parking spot = $1000.  Assuming no Reindeer run; no PE uniforms but possibly Hello College and others</t>
  </si>
  <si>
    <t>OTHER INCOME/FUND RAISERS</t>
  </si>
  <si>
    <t>191 members as of 8/24 with $10,600 total ($4,275 in family donations)</t>
  </si>
  <si>
    <t>TIGER PAWS - 2020-2021 TREASURER'S REPORT - November 12, 2020</t>
  </si>
  <si>
    <t>2020-2021 
Actuals</t>
  </si>
  <si>
    <t>2019 - 2020 Actuals</t>
  </si>
  <si>
    <t>2020-2021 
Approved Budget</t>
  </si>
  <si>
    <t>Comments</t>
  </si>
  <si>
    <t>Donation from Spring 2020 Senior Sign vendor</t>
  </si>
  <si>
    <t>CASH BALANCES as of 10/31/20:</t>
  </si>
  <si>
    <t>10/31/20 Ending Cash</t>
  </si>
  <si>
    <t>Fall testing</t>
  </si>
  <si>
    <t>Freshman masks for orientation</t>
  </si>
  <si>
    <t>Proposed Fall Allocations $4,500</t>
  </si>
  <si>
    <t xml:space="preserve">  Directory Spot</t>
  </si>
  <si>
    <t xml:space="preserve">  Sports Passes (% returned to D200 in spring)</t>
  </si>
  <si>
    <t>No Sports passes to date</t>
  </si>
  <si>
    <t xml:space="preserve">  Memberships &amp; Family Donations</t>
  </si>
  <si>
    <t>301 Members as of 10/31/20</t>
  </si>
  <si>
    <t>TIGER PAWS - 2020-2021 TREASURER'S REPORT - February 25, 2021</t>
  </si>
  <si>
    <t>CASH BALANCES as of 1/31/21:</t>
  </si>
  <si>
    <t>1/31/21 Ending Cash</t>
  </si>
  <si>
    <t>310 members as of 2/23/21</t>
  </si>
  <si>
    <t>Proposed Winter Allocations $4,898</t>
  </si>
  <si>
    <t>Proposed Winter Allocations $4,898; Feb meeting approved move to $2,000 to Scholarships</t>
  </si>
  <si>
    <t>Original $3,000; approved additional $2,000 (from Allocations) during Feb. meeting</t>
  </si>
  <si>
    <t>TIGER PAWS - 2020-2021 TREASURER'S REPORT - March 31, 2021</t>
  </si>
  <si>
    <t>3/31/21 Ending Cash</t>
  </si>
  <si>
    <t>CASH BALANCES as of 3/31/21:</t>
  </si>
  <si>
    <t>Fall and Spring testing</t>
  </si>
  <si>
    <t>venue deposit/no ticket revenue included</t>
  </si>
  <si>
    <t>2021-2022 Proposed Budget</t>
  </si>
  <si>
    <t>In 2019 we made $1100 on sports passes</t>
  </si>
  <si>
    <t>-</t>
  </si>
  <si>
    <t>7/1/21 Cash</t>
  </si>
  <si>
    <t>Parking raffle, Senior Assassin donation, Corp matching gift.  Past years included grad seat raffle and PE uniforms</t>
  </si>
  <si>
    <t>2019-2020 budget was $10,000</t>
  </si>
  <si>
    <t>6/30/22 Ending Cash</t>
  </si>
  <si>
    <t xml:space="preserve">  Memberships &amp; Family/Patron Donations</t>
  </si>
  <si>
    <t xml:space="preserve">DIRECTORY </t>
  </si>
  <si>
    <t>Directory Spot</t>
  </si>
  <si>
    <t>PE UNIFORMS</t>
  </si>
  <si>
    <t>TRADITION TRAIL BRICKS</t>
  </si>
  <si>
    <t xml:space="preserve">      Achievement Awards</t>
  </si>
  <si>
    <t>CASH BALANCES as of 7/1/21:</t>
  </si>
  <si>
    <t>TIGER PAWS - 2020-2021 TREASURER'S REPORT - June 30, 2021</t>
  </si>
  <si>
    <t>CASH BALANCES as of 6/30/21:</t>
  </si>
  <si>
    <r>
      <t xml:space="preserve">TIGER PAWS - 2020-2021 TREASURER'S </t>
    </r>
    <r>
      <rPr>
        <sz val="14"/>
        <color theme="5" tint="-0.249977111117893"/>
        <rFont val="Abadi"/>
        <family val="2"/>
      </rPr>
      <t>Proposed Budget July 8,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</si>
</sst>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;\-#,##0.00"/>
    <numFmt numFmtId="167" formatCode="#,##0.0#%;\-#,##0.0#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5"/>
      <name val="Franklin Gothic Book"/>
      <family val="2"/>
    </font>
    <font>
      <b/>
      <sz val="12"/>
      <color rgb="FF000000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rgb="FF000000"/>
      <name val="Franklin Gothic Book"/>
      <family val="2"/>
    </font>
    <font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b/>
      <sz val="11"/>
      <color rgb="FF000000"/>
      <name val="Franklin Gothic Book"/>
      <family val="2"/>
    </font>
    <font>
      <b/>
      <sz val="14"/>
      <color theme="5"/>
      <name val="Abadi"/>
      <family val="2"/>
    </font>
    <font>
      <sz val="11"/>
      <color theme="1"/>
      <name val="Abadi"/>
      <family val="2"/>
    </font>
    <font>
      <b/>
      <sz val="12"/>
      <color rgb="FF000000"/>
      <name val="Abadi"/>
      <family val="2"/>
    </font>
    <font>
      <b/>
      <sz val="11"/>
      <color rgb="FF000000"/>
      <name val="Abadi"/>
      <family val="2"/>
    </font>
    <font>
      <sz val="12"/>
      <color rgb="FF000000"/>
      <name val="Abadi"/>
      <family val="2"/>
    </font>
    <font>
      <sz val="11"/>
      <color rgb="FF000000"/>
      <name val="Abadi"/>
      <family val="2"/>
    </font>
    <font>
      <sz val="12"/>
      <color theme="1"/>
      <name val="Abadi"/>
      <family val="2"/>
    </font>
    <font>
      <b/>
      <sz val="12"/>
      <color theme="1"/>
      <name val="Abadi"/>
      <family val="2"/>
    </font>
    <font>
      <b/>
      <sz val="14"/>
      <color rgb="FFFF0000"/>
      <name val="Abadi"/>
      <family val="2"/>
    </font>
    <font>
      <b/>
      <sz val="14"/>
      <color theme="5" tint="-0.249977111117893"/>
      <name val="Abadi"/>
      <family val="2"/>
    </font>
    <font>
      <sz val="12"/>
      <name val="Abadi"/>
      <family val="2"/>
    </font>
    <font>
      <sz val="14"/>
      <color theme="5" tint="-0.249977111117893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266">
    <xf numFmtId="0" fontId="0" fillId="0" borderId="0" xfId="0"/>
    <xf numFmtId="0" fontId="4" fillId="0" borderId="0" xfId="0" applyFont="1"/>
    <xf numFmtId="0" fontId="3" fillId="0" borderId="0" xfId="0" applyNumberFormat="1" applyFont="1"/>
    <xf numFmtId="0" fontId="4" fillId="0" borderId="0" xfId="0" applyNumberFormat="1" applyFont="1"/>
    <xf numFmtId="49" fontId="6" fillId="0" borderId="0" xfId="0" applyNumberFormat="1" applyFont="1"/>
    <xf numFmtId="49" fontId="7" fillId="0" borderId="0" xfId="0" applyNumberFormat="1" applyFont="1" applyBorder="1" applyAlignment="1">
      <alignment horizontal="centerContinuous"/>
    </xf>
    <xf numFmtId="49" fontId="7" fillId="0" borderId="2" xfId="0" applyNumberFormat="1" applyFont="1" applyBorder="1" applyAlignment="1">
      <alignment horizontal="centerContinuous"/>
    </xf>
    <xf numFmtId="0" fontId="7" fillId="0" borderId="0" xfId="0" applyFont="1"/>
    <xf numFmtId="165" fontId="8" fillId="0" borderId="0" xfId="1" applyNumberFormat="1" applyFont="1"/>
    <xf numFmtId="49" fontId="8" fillId="0" borderId="0" xfId="0" applyNumberFormat="1" applyFont="1"/>
    <xf numFmtId="9" fontId="8" fillId="0" borderId="0" xfId="3" applyFont="1"/>
    <xf numFmtId="165" fontId="8" fillId="0" borderId="4" xfId="1" applyNumberFormat="1" applyFont="1" applyBorder="1"/>
    <xf numFmtId="9" fontId="8" fillId="0" borderId="4" xfId="3" applyFont="1" applyBorder="1"/>
    <xf numFmtId="165" fontId="8" fillId="0" borderId="0" xfId="1" applyNumberFormat="1" applyFont="1" applyBorder="1"/>
    <xf numFmtId="9" fontId="8" fillId="0" borderId="0" xfId="3" applyFont="1" applyBorder="1"/>
    <xf numFmtId="165" fontId="8" fillId="0" borderId="5" xfId="1" applyNumberFormat="1" applyFont="1" applyBorder="1"/>
    <xf numFmtId="9" fontId="8" fillId="0" borderId="5" xfId="3" applyFont="1" applyBorder="1"/>
    <xf numFmtId="165" fontId="8" fillId="0" borderId="7" xfId="1" applyNumberFormat="1" applyFont="1" applyBorder="1"/>
    <xf numFmtId="9" fontId="8" fillId="0" borderId="7" xfId="3" applyFont="1" applyBorder="1"/>
    <xf numFmtId="164" fontId="6" fillId="0" borderId="6" xfId="2" applyNumberFormat="1" applyFont="1" applyBorder="1"/>
    <xf numFmtId="43" fontId="6" fillId="0" borderId="0" xfId="1" applyFont="1"/>
    <xf numFmtId="9" fontId="6" fillId="0" borderId="6" xfId="3" applyFont="1" applyBorder="1"/>
    <xf numFmtId="0" fontId="6" fillId="0" borderId="0" xfId="0" applyFont="1"/>
    <xf numFmtId="0" fontId="6" fillId="0" borderId="0" xfId="0" applyNumberFormat="1" applyFont="1"/>
    <xf numFmtId="43" fontId="7" fillId="0" borderId="0" xfId="1" applyFont="1"/>
    <xf numFmtId="0" fontId="7" fillId="0" borderId="0" xfId="0" applyNumberFormat="1" applyFont="1"/>
    <xf numFmtId="0" fontId="7" fillId="0" borderId="0" xfId="0" applyFont="1" applyAlignment="1">
      <alignment wrapText="1"/>
    </xf>
    <xf numFmtId="14" fontId="7" fillId="0" borderId="0" xfId="0" applyNumberFormat="1" applyFont="1"/>
    <xf numFmtId="0" fontId="5" fillId="0" borderId="1" xfId="0" applyNumberFormat="1" applyFont="1" applyBorder="1"/>
    <xf numFmtId="0" fontId="5" fillId="0" borderId="1" xfId="0" applyFont="1" applyBorder="1"/>
    <xf numFmtId="44" fontId="5" fillId="0" borderId="1" xfId="0" applyNumberFormat="1" applyFont="1" applyBorder="1"/>
    <xf numFmtId="43" fontId="4" fillId="2" borderId="0" xfId="0" applyNumberFormat="1" applyFont="1" applyFill="1"/>
    <xf numFmtId="49" fontId="6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65" fontId="8" fillId="2" borderId="0" xfId="1" applyNumberFormat="1" applyFont="1" applyFill="1"/>
    <xf numFmtId="49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166" fontId="12" fillId="0" borderId="0" xfId="0" applyNumberFormat="1" applyFont="1"/>
    <xf numFmtId="49" fontId="12" fillId="0" borderId="0" xfId="0" applyNumberFormat="1" applyFont="1"/>
    <xf numFmtId="167" fontId="12" fillId="0" borderId="0" xfId="0" applyNumberFormat="1" applyFont="1"/>
    <xf numFmtId="165" fontId="12" fillId="0" borderId="0" xfId="1" applyNumberFormat="1" applyFont="1"/>
    <xf numFmtId="165" fontId="12" fillId="0" borderId="4" xfId="1" applyNumberFormat="1" applyFont="1" applyBorder="1"/>
    <xf numFmtId="167" fontId="12" fillId="0" borderId="4" xfId="0" applyNumberFormat="1" applyFont="1" applyBorder="1"/>
    <xf numFmtId="165" fontId="12" fillId="0" borderId="0" xfId="1" applyNumberFormat="1" applyFont="1" applyBorder="1"/>
    <xf numFmtId="167" fontId="12" fillId="0" borderId="0" xfId="0" applyNumberFormat="1" applyFont="1" applyBorder="1"/>
    <xf numFmtId="165" fontId="12" fillId="0" borderId="5" xfId="1" applyNumberFormat="1" applyFont="1" applyBorder="1"/>
    <xf numFmtId="167" fontId="12" fillId="0" borderId="5" xfId="0" applyNumberFormat="1" applyFont="1" applyBorder="1"/>
    <xf numFmtId="165" fontId="12" fillId="2" borderId="0" xfId="1" applyNumberFormat="1" applyFont="1" applyFill="1" applyBorder="1"/>
    <xf numFmtId="165" fontId="12" fillId="0" borderId="7" xfId="1" applyNumberFormat="1" applyFont="1" applyBorder="1"/>
    <xf numFmtId="167" fontId="12" fillId="0" borderId="7" xfId="0" applyNumberFormat="1" applyFont="1" applyBorder="1"/>
    <xf numFmtId="165" fontId="10" fillId="0" borderId="6" xfId="1" applyNumberFormat="1" applyFont="1" applyBorder="1"/>
    <xf numFmtId="165" fontId="10" fillId="0" borderId="0" xfId="1" applyNumberFormat="1" applyFont="1"/>
    <xf numFmtId="167" fontId="10" fillId="0" borderId="6" xfId="0" applyNumberFormat="1" applyFont="1" applyBorder="1"/>
    <xf numFmtId="165" fontId="11" fillId="0" borderId="0" xfId="1" applyNumberFormat="1" applyFont="1"/>
    <xf numFmtId="44" fontId="5" fillId="0" borderId="1" xfId="0" applyNumberFormat="1" applyFont="1" applyFill="1" applyBorder="1"/>
    <xf numFmtId="43" fontId="7" fillId="0" borderId="0" xfId="1" applyFont="1" applyFill="1"/>
    <xf numFmtId="43" fontId="4" fillId="0" borderId="0" xfId="0" applyNumberFormat="1" applyFont="1" applyFill="1"/>
    <xf numFmtId="0" fontId="5" fillId="0" borderId="0" xfId="0" applyNumberFormat="1" applyFont="1" applyBorder="1"/>
    <xf numFmtId="44" fontId="5" fillId="0" borderId="0" xfId="0" applyNumberFormat="1" applyFont="1" applyBorder="1"/>
    <xf numFmtId="0" fontId="7" fillId="0" borderId="0" xfId="0" applyNumberFormat="1" applyFont="1" applyBorder="1"/>
    <xf numFmtId="14" fontId="7" fillId="0" borderId="0" xfId="0" applyNumberFormat="1" applyFont="1" applyBorder="1"/>
    <xf numFmtId="43" fontId="7" fillId="0" borderId="0" xfId="1" applyFont="1" applyBorder="1"/>
    <xf numFmtId="0" fontId="4" fillId="0" borderId="0" xfId="0" applyNumberFormat="1" applyFont="1" applyBorder="1"/>
    <xf numFmtId="43" fontId="4" fillId="0" borderId="0" xfId="0" applyNumberFormat="1" applyFont="1" applyFill="1" applyBorder="1"/>
    <xf numFmtId="0" fontId="13" fillId="0" borderId="1" xfId="0" applyNumberFormat="1" applyFont="1" applyBorder="1"/>
    <xf numFmtId="0" fontId="13" fillId="0" borderId="1" xfId="0" applyFont="1" applyBorder="1"/>
    <xf numFmtId="43" fontId="4" fillId="0" borderId="0" xfId="1" applyFont="1"/>
    <xf numFmtId="14" fontId="4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Border="1" applyAlignment="1">
      <alignment horizontal="centerContinuous" wrapText="1"/>
    </xf>
    <xf numFmtId="43" fontId="4" fillId="0" borderId="0" xfId="1" applyFont="1" applyBorder="1" applyAlignment="1">
      <alignment horizontal="centerContinuous"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166" fontId="14" fillId="0" borderId="0" xfId="0" applyNumberFormat="1" applyFont="1"/>
    <xf numFmtId="49" fontId="14" fillId="0" borderId="0" xfId="0" applyNumberFormat="1" applyFont="1"/>
    <xf numFmtId="43" fontId="14" fillId="0" borderId="0" xfId="1" applyFont="1"/>
    <xf numFmtId="43" fontId="14" fillId="0" borderId="4" xfId="1" applyFont="1" applyBorder="1"/>
    <xf numFmtId="44" fontId="14" fillId="0" borderId="0" xfId="2" applyFont="1"/>
    <xf numFmtId="44" fontId="4" fillId="0" borderId="0" xfId="2" applyFont="1"/>
    <xf numFmtId="43" fontId="14" fillId="0" borderId="0" xfId="1" applyFont="1" applyBorder="1"/>
    <xf numFmtId="44" fontId="14" fillId="0" borderId="7" xfId="2" applyFont="1" applyBorder="1"/>
    <xf numFmtId="44" fontId="3" fillId="0" borderId="6" xfId="2" applyFont="1" applyBorder="1"/>
    <xf numFmtId="44" fontId="3" fillId="0" borderId="0" xfId="2" applyFont="1"/>
    <xf numFmtId="0" fontId="3" fillId="0" borderId="0" xfId="0" applyFont="1"/>
    <xf numFmtId="44" fontId="13" fillId="0" borderId="0" xfId="0" applyNumberFormat="1" applyFont="1" applyBorder="1"/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14" fillId="2" borderId="0" xfId="1" applyFont="1" applyFill="1"/>
    <xf numFmtId="165" fontId="4" fillId="0" borderId="0" xfId="1" applyNumberFormat="1" applyFont="1"/>
    <xf numFmtId="43" fontId="14" fillId="0" borderId="0" xfId="1" applyFont="1" applyFill="1"/>
    <xf numFmtId="49" fontId="3" fillId="0" borderId="0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Continuous" wrapText="1"/>
    </xf>
    <xf numFmtId="43" fontId="4" fillId="0" borderId="0" xfId="0" applyNumberFormat="1" applyFont="1"/>
    <xf numFmtId="43" fontId="12" fillId="0" borderId="0" xfId="1" applyFont="1"/>
    <xf numFmtId="43" fontId="11" fillId="0" borderId="0" xfId="1" applyFont="1"/>
    <xf numFmtId="49" fontId="3" fillId="3" borderId="0" xfId="0" applyNumberFormat="1" applyFont="1" applyFill="1"/>
    <xf numFmtId="43" fontId="14" fillId="3" borderId="0" xfId="1" applyFont="1" applyFill="1"/>
    <xf numFmtId="43" fontId="12" fillId="3" borderId="0" xfId="1" applyFont="1" applyFill="1"/>
    <xf numFmtId="43" fontId="14" fillId="3" borderId="0" xfId="1" applyFont="1" applyFill="1" applyBorder="1"/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17" fillId="3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Border="1"/>
    <xf numFmtId="166" fontId="19" fillId="0" borderId="10" xfId="0" applyNumberFormat="1" applyFont="1" applyBorder="1"/>
    <xf numFmtId="49" fontId="19" fillId="0" borderId="10" xfId="0" applyNumberFormat="1" applyFont="1" applyBorder="1"/>
    <xf numFmtId="0" fontId="18" fillId="0" borderId="10" xfId="0" applyFont="1" applyBorder="1"/>
    <xf numFmtId="43" fontId="19" fillId="0" borderId="10" xfId="1" applyFont="1" applyBorder="1"/>
    <xf numFmtId="43" fontId="18" fillId="0" borderId="10" xfId="1" applyFont="1" applyBorder="1"/>
    <xf numFmtId="43" fontId="19" fillId="3" borderId="10" xfId="1" applyFont="1" applyFill="1" applyBorder="1"/>
    <xf numFmtId="0" fontId="18" fillId="0" borderId="10" xfId="0" applyFont="1" applyBorder="1" applyAlignment="1">
      <alignment wrapText="1"/>
    </xf>
    <xf numFmtId="44" fontId="19" fillId="0" borderId="10" xfId="2" applyFont="1" applyBorder="1"/>
    <xf numFmtId="44" fontId="18" fillId="0" borderId="10" xfId="2" applyFont="1" applyBorder="1"/>
    <xf numFmtId="49" fontId="20" fillId="0" borderId="10" xfId="0" applyNumberFormat="1" applyFont="1" applyBorder="1"/>
    <xf numFmtId="43" fontId="20" fillId="0" borderId="10" xfId="1" applyFont="1" applyBorder="1"/>
    <xf numFmtId="43" fontId="0" fillId="0" borderId="10" xfId="1" applyFont="1" applyBorder="1"/>
    <xf numFmtId="0" fontId="0" fillId="0" borderId="10" xfId="0" applyFont="1" applyBorder="1"/>
    <xf numFmtId="43" fontId="19" fillId="0" borderId="10" xfId="1" applyFont="1" applyFill="1" applyBorder="1"/>
    <xf numFmtId="49" fontId="21" fillId="0" borderId="10" xfId="0" applyNumberFormat="1" applyFont="1" applyBorder="1"/>
    <xf numFmtId="43" fontId="20" fillId="3" borderId="10" xfId="1" applyFont="1" applyFill="1" applyBorder="1"/>
    <xf numFmtId="44" fontId="17" fillId="0" borderId="10" xfId="2" applyFont="1" applyBorder="1"/>
    <xf numFmtId="0" fontId="17" fillId="0" borderId="10" xfId="0" applyFont="1" applyBorder="1"/>
    <xf numFmtId="0" fontId="22" fillId="0" borderId="10" xfId="0" applyFont="1" applyBorder="1"/>
    <xf numFmtId="0" fontId="22" fillId="0" borderId="10" xfId="0" applyNumberFormat="1" applyFont="1" applyBorder="1"/>
    <xf numFmtId="44" fontId="22" fillId="0" borderId="10" xfId="0" applyNumberFormat="1" applyFont="1" applyBorder="1"/>
    <xf numFmtId="0" fontId="18" fillId="0" borderId="10" xfId="0" applyNumberFormat="1" applyFont="1" applyBorder="1"/>
    <xf numFmtId="14" fontId="18" fillId="0" borderId="10" xfId="0" applyNumberFormat="1" applyFont="1" applyBorder="1"/>
    <xf numFmtId="0" fontId="18" fillId="0" borderId="16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17" xfId="0" applyFont="1" applyBorder="1"/>
    <xf numFmtId="0" fontId="18" fillId="0" borderId="18" xfId="0" applyFont="1" applyBorder="1"/>
    <xf numFmtId="0" fontId="18" fillId="0" borderId="0" xfId="0" applyFont="1" applyBorder="1"/>
    <xf numFmtId="44" fontId="18" fillId="0" borderId="20" xfId="2" applyFont="1" applyBorder="1"/>
    <xf numFmtId="0" fontId="18" fillId="0" borderId="22" xfId="0" applyFont="1" applyBorder="1"/>
    <xf numFmtId="44" fontId="18" fillId="0" borderId="23" xfId="2" applyFont="1" applyBorder="1"/>
    <xf numFmtId="0" fontId="0" fillId="0" borderId="10" xfId="0" applyBorder="1"/>
    <xf numFmtId="0" fontId="18" fillId="0" borderId="0" xfId="0" applyFont="1"/>
    <xf numFmtId="0" fontId="24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8" fillId="3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49" fontId="28" fillId="0" borderId="10" xfId="0" applyNumberFormat="1" applyFont="1" applyBorder="1"/>
    <xf numFmtId="166" fontId="31" fillId="0" borderId="10" xfId="0" applyNumberFormat="1" applyFont="1" applyBorder="1"/>
    <xf numFmtId="49" fontId="31" fillId="0" borderId="10" xfId="0" applyNumberFormat="1" applyFont="1" applyBorder="1"/>
    <xf numFmtId="0" fontId="29" fillId="0" borderId="10" xfId="0" applyFont="1" applyBorder="1"/>
    <xf numFmtId="0" fontId="29" fillId="0" borderId="10" xfId="0" applyFont="1" applyBorder="1" applyAlignment="1">
      <alignment wrapText="1"/>
    </xf>
    <xf numFmtId="43" fontId="31" fillId="0" borderId="10" xfId="1" applyFont="1" applyBorder="1"/>
    <xf numFmtId="43" fontId="29" fillId="0" borderId="10" xfId="1" applyFont="1" applyBorder="1"/>
    <xf numFmtId="43" fontId="31" fillId="3" borderId="10" xfId="1" applyFont="1" applyFill="1" applyBorder="1"/>
    <xf numFmtId="44" fontId="31" fillId="0" borderId="10" xfId="2" applyFont="1" applyBorder="1"/>
    <xf numFmtId="44" fontId="29" fillId="0" borderId="10" xfId="2" applyFont="1" applyBorder="1"/>
    <xf numFmtId="49" fontId="32" fillId="0" borderId="10" xfId="0" applyNumberFormat="1" applyFont="1" applyBorder="1"/>
    <xf numFmtId="43" fontId="32" fillId="0" borderId="10" xfId="1" applyFont="1" applyBorder="1"/>
    <xf numFmtId="43" fontId="33" fillId="0" borderId="10" xfId="1" applyFont="1" applyBorder="1"/>
    <xf numFmtId="0" fontId="33" fillId="0" borderId="10" xfId="0" applyFont="1" applyBorder="1" applyAlignment="1">
      <alignment wrapText="1"/>
    </xf>
    <xf numFmtId="49" fontId="34" fillId="0" borderId="10" xfId="0" applyNumberFormat="1" applyFont="1" applyBorder="1"/>
    <xf numFmtId="43" fontId="32" fillId="3" borderId="10" xfId="1" applyFont="1" applyFill="1" applyBorder="1"/>
    <xf numFmtId="44" fontId="28" fillId="0" borderId="10" xfId="2" applyFont="1" applyBorder="1"/>
    <xf numFmtId="0" fontId="28" fillId="0" borderId="10" xfId="0" applyFont="1" applyBorder="1" applyAlignment="1">
      <alignment wrapText="1"/>
    </xf>
    <xf numFmtId="0" fontId="30" fillId="0" borderId="10" xfId="0" applyFont="1" applyBorder="1"/>
    <xf numFmtId="44" fontId="30" fillId="0" borderId="10" xfId="0" applyNumberFormat="1" applyFont="1" applyBorder="1" applyAlignment="1">
      <alignment wrapText="1"/>
    </xf>
    <xf numFmtId="14" fontId="29" fillId="0" borderId="10" xfId="0" applyNumberFormat="1" applyFont="1" applyBorder="1"/>
    <xf numFmtId="0" fontId="29" fillId="0" borderId="0" xfId="0" applyFont="1"/>
    <xf numFmtId="43" fontId="29" fillId="0" borderId="0" xfId="0" applyNumberFormat="1" applyFont="1"/>
    <xf numFmtId="0" fontId="29" fillId="0" borderId="0" xfId="0" applyFont="1" applyAlignment="1">
      <alignment wrapText="1"/>
    </xf>
    <xf numFmtId="0" fontId="29" fillId="0" borderId="16" xfId="0" applyFont="1" applyBorder="1" applyAlignment="1">
      <alignment horizontal="right"/>
    </xf>
    <xf numFmtId="0" fontId="29" fillId="0" borderId="17" xfId="0" applyFont="1" applyBorder="1"/>
    <xf numFmtId="0" fontId="29" fillId="0" borderId="18" xfId="0" applyFont="1" applyBorder="1"/>
    <xf numFmtId="0" fontId="29" fillId="0" borderId="19" xfId="0" applyFont="1" applyBorder="1" applyAlignment="1">
      <alignment horizontal="right"/>
    </xf>
    <xf numFmtId="44" fontId="29" fillId="0" borderId="20" xfId="2" applyFont="1" applyBorder="1"/>
    <xf numFmtId="0" fontId="29" fillId="0" borderId="21" xfId="0" applyFont="1" applyBorder="1" applyAlignment="1">
      <alignment horizontal="right"/>
    </xf>
    <xf numFmtId="0" fontId="29" fillId="0" borderId="22" xfId="0" applyFont="1" applyBorder="1"/>
    <xf numFmtId="44" fontId="29" fillId="0" borderId="23" xfId="2" applyFont="1" applyBorder="1"/>
    <xf numFmtId="0" fontId="36" fillId="0" borderId="0" xfId="0" applyFont="1"/>
    <xf numFmtId="49" fontId="37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3" borderId="10" xfId="0" applyNumberFormat="1" applyFont="1" applyFill="1" applyBorder="1" applyAlignment="1">
      <alignment horizontal="center" vertical="center" wrapText="1"/>
    </xf>
    <xf numFmtId="166" fontId="39" fillId="0" borderId="10" xfId="0" applyNumberFormat="1" applyFont="1" applyBorder="1"/>
    <xf numFmtId="166" fontId="40" fillId="0" borderId="10" xfId="0" applyNumberFormat="1" applyFont="1" applyBorder="1"/>
    <xf numFmtId="49" fontId="37" fillId="0" borderId="10" xfId="0" applyNumberFormat="1" applyFont="1" applyBorder="1"/>
    <xf numFmtId="43" fontId="39" fillId="0" borderId="10" xfId="1" applyFont="1" applyBorder="1"/>
    <xf numFmtId="43" fontId="40" fillId="0" borderId="10" xfId="1" applyFont="1" applyBorder="1"/>
    <xf numFmtId="43" fontId="40" fillId="3" borderId="10" xfId="1" applyFont="1" applyFill="1" applyBorder="1"/>
    <xf numFmtId="49" fontId="40" fillId="0" borderId="10" xfId="0" applyNumberFormat="1" applyFont="1" applyBorder="1"/>
    <xf numFmtId="0" fontId="36" fillId="0" borderId="10" xfId="0" applyFont="1" applyBorder="1"/>
    <xf numFmtId="43" fontId="39" fillId="3" borderId="10" xfId="1" applyFont="1" applyFill="1" applyBorder="1"/>
    <xf numFmtId="44" fontId="39" fillId="0" borderId="10" xfId="2" applyFont="1" applyBorder="1"/>
    <xf numFmtId="44" fontId="40" fillId="0" borderId="10" xfId="2" applyFont="1" applyBorder="1"/>
    <xf numFmtId="49" fontId="38" fillId="0" borderId="10" xfId="0" applyNumberFormat="1" applyFont="1" applyBorder="1"/>
    <xf numFmtId="44" fontId="37" fillId="0" borderId="10" xfId="2" applyFont="1" applyBorder="1"/>
    <xf numFmtId="44" fontId="38" fillId="0" borderId="10" xfId="2" applyFont="1" applyBorder="1"/>
    <xf numFmtId="0" fontId="41" fillId="0" borderId="10" xfId="0" applyFont="1" applyBorder="1"/>
    <xf numFmtId="0" fontId="42" fillId="0" borderId="10" xfId="0" applyFont="1" applyBorder="1"/>
    <xf numFmtId="43" fontId="41" fillId="0" borderId="10" xfId="1" applyFont="1" applyBorder="1"/>
    <xf numFmtId="14" fontId="41" fillId="0" borderId="10" xfId="0" applyNumberFormat="1" applyFont="1" applyBorder="1"/>
    <xf numFmtId="0" fontId="41" fillId="0" borderId="0" xfId="0" applyFont="1"/>
    <xf numFmtId="43" fontId="41" fillId="0" borderId="0" xfId="0" applyNumberFormat="1" applyFont="1"/>
    <xf numFmtId="0" fontId="41" fillId="0" borderId="24" xfId="0" applyFont="1" applyBorder="1" applyAlignment="1">
      <alignment horizontal="right"/>
    </xf>
    <xf numFmtId="0" fontId="41" fillId="0" borderId="25" xfId="0" applyFont="1" applyBorder="1"/>
    <xf numFmtId="0" fontId="41" fillId="0" borderId="26" xfId="0" applyFont="1" applyBorder="1"/>
    <xf numFmtId="0" fontId="41" fillId="0" borderId="0" xfId="0" applyFont="1" applyBorder="1"/>
    <xf numFmtId="0" fontId="41" fillId="0" borderId="27" xfId="0" applyFont="1" applyBorder="1" applyAlignment="1">
      <alignment horizontal="right"/>
    </xf>
    <xf numFmtId="44" fontId="41" fillId="0" borderId="28" xfId="2" applyFont="1" applyBorder="1"/>
    <xf numFmtId="0" fontId="41" fillId="0" borderId="29" xfId="0" applyFont="1" applyBorder="1" applyAlignment="1">
      <alignment horizontal="right"/>
    </xf>
    <xf numFmtId="0" fontId="41" fillId="0" borderId="30" xfId="0" applyFont="1" applyBorder="1"/>
    <xf numFmtId="44" fontId="41" fillId="0" borderId="31" xfId="2" applyFont="1" applyBorder="1"/>
    <xf numFmtId="43" fontId="36" fillId="0" borderId="10" xfId="1" applyFont="1" applyBorder="1"/>
    <xf numFmtId="0" fontId="36" fillId="3" borderId="10" xfId="0" applyFont="1" applyFill="1" applyBorder="1"/>
    <xf numFmtId="43" fontId="39" fillId="3" borderId="10" xfId="1" applyFont="1" applyFill="1" applyBorder="1" applyAlignment="1">
      <alignment wrapText="1"/>
    </xf>
    <xf numFmtId="43" fontId="40" fillId="3" borderId="10" xfId="1" applyFont="1" applyFill="1" applyBorder="1" applyAlignment="1">
      <alignment wrapText="1"/>
    </xf>
    <xf numFmtId="49" fontId="37" fillId="0" borderId="10" xfId="0" applyNumberFormat="1" applyFont="1" applyBorder="1" applyAlignment="1">
      <alignment horizontal="left"/>
    </xf>
    <xf numFmtId="0" fontId="41" fillId="0" borderId="25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30" xfId="0" applyFont="1" applyBorder="1" applyAlignment="1">
      <alignment horizontal="right"/>
    </xf>
    <xf numFmtId="39" fontId="39" fillId="0" borderId="10" xfId="1" applyNumberFormat="1" applyFont="1" applyBorder="1"/>
    <xf numFmtId="39" fontId="40" fillId="0" borderId="10" xfId="1" applyNumberFormat="1" applyFont="1" applyBorder="1"/>
    <xf numFmtId="39" fontId="39" fillId="0" borderId="10" xfId="1" applyNumberFormat="1" applyFont="1" applyBorder="1" applyAlignment="1">
      <alignment horizontal="left"/>
    </xf>
    <xf numFmtId="43" fontId="39" fillId="0" borderId="10" xfId="1" applyFont="1" applyBorder="1" applyAlignment="1">
      <alignment wrapText="1"/>
    </xf>
    <xf numFmtId="0" fontId="45" fillId="0" borderId="10" xfId="0" applyFont="1" applyBorder="1"/>
    <xf numFmtId="43" fontId="45" fillId="0" borderId="10" xfId="1" applyFont="1" applyBorder="1"/>
    <xf numFmtId="14" fontId="45" fillId="0" borderId="10" xfId="0" applyNumberFormat="1" applyFont="1" applyBorder="1"/>
    <xf numFmtId="44" fontId="45" fillId="0" borderId="10" xfId="0" applyNumberFormat="1" applyFont="1" applyBorder="1"/>
    <xf numFmtId="44" fontId="45" fillId="0" borderId="10" xfId="2" applyFont="1" applyBorder="1"/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2" xfId="5" xr:uid="{00000000-0005-0000-0000-000004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40</xdr:row>
      <xdr:rowOff>17780</xdr:rowOff>
    </xdr:from>
    <xdr:to>
      <xdr:col>9</xdr:col>
      <xdr:colOff>2829560</xdr:colOff>
      <xdr:row>46</xdr:row>
      <xdr:rowOff>157480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509510" y="6944360"/>
          <a:ext cx="2581910" cy="1343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5/31/19: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$33,523.20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$968.82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$9,716.72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$25,254.46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5/31/19 $69,463.20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1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1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74</xdr:row>
      <xdr:rowOff>152400</xdr:rowOff>
    </xdr:from>
    <xdr:to>
      <xdr:col>15</xdr:col>
      <xdr:colOff>5242560</xdr:colOff>
      <xdr:row>81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9639300" y="8420100"/>
          <a:ext cx="4937760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2/20/18: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$36,650.57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$5,467.93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$6,933.24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$41,529.62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2/20/18 $90,581.36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Beginning Cash 7/1/17 $62,333.12</a:t>
          </a:r>
        </a:p>
        <a:p>
          <a:endParaRPr lang="en-US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Net Cash Change $28,248.24</a:t>
          </a:r>
          <a:endParaRPr lang="en-US" sz="14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1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1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74</xdr:row>
      <xdr:rowOff>152400</xdr:rowOff>
    </xdr:from>
    <xdr:to>
      <xdr:col>15</xdr:col>
      <xdr:colOff>5242560</xdr:colOff>
      <xdr:row>81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9639300" y="11652250"/>
          <a:ext cx="4937760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1/16/18: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$33,398.25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$5,467.78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$6,940.74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$41,244.69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1/16/18 $87,051.46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Beginning Cash 7/1/17 $62,333.12</a:t>
          </a:r>
        </a:p>
        <a:p>
          <a:endParaRPr lang="en-US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Net Cash Change $24,718.34</a:t>
          </a:r>
          <a:endParaRPr lang="en-US" sz="14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1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74</xdr:row>
      <xdr:rowOff>152400</xdr:rowOff>
    </xdr:from>
    <xdr:to>
      <xdr:col>15</xdr:col>
      <xdr:colOff>5242560</xdr:colOff>
      <xdr:row>81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9456420" y="11559540"/>
          <a:ext cx="4937760" cy="2141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10/22/17: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$45,136.52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$5,467.38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$6,963.24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$41,236.44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9/19/17 $98,803.58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Beginning Cash 7/1/17 $62,333.12</a:t>
          </a:r>
        </a:p>
        <a:p>
          <a:endParaRPr lang="en-US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Net Cash Change $36,470.46</a:t>
          </a:r>
          <a:endParaRPr lang="en-US" sz="14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74</xdr:row>
      <xdr:rowOff>152400</xdr:rowOff>
    </xdr:from>
    <xdr:to>
      <xdr:col>15</xdr:col>
      <xdr:colOff>5242560</xdr:colOff>
      <xdr:row>81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9456420" y="11559540"/>
          <a:ext cx="4937760" cy="2141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9/19/17: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$38, 689.27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$5,467.25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$7,163.24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$38,200.50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9/19/17 $89,520.26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Beginning Cash 7/1/17 $62,333.12</a:t>
          </a:r>
        </a:p>
        <a:p>
          <a:endParaRPr lang="en-US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Net Cash Change $27,187.14</a:t>
          </a:r>
          <a:endParaRPr lang="en-US" sz="14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139700</xdr:rowOff>
    </xdr:from>
    <xdr:to>
      <xdr:col>1</xdr:col>
      <xdr:colOff>2463800</xdr:colOff>
      <xdr:row>35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5250" y="6670040"/>
          <a:ext cx="2581910" cy="1343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6/30/19: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$34,237.35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$968.86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$7,746.72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$25,257.62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6/30/19 $68,210.55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139700</xdr:rowOff>
    </xdr:from>
    <xdr:to>
      <xdr:col>1</xdr:col>
      <xdr:colOff>2463800</xdr:colOff>
      <xdr:row>35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95250" y="6471920"/>
          <a:ext cx="2581910" cy="1343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4/16/19: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$23,923.23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$968.79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$12,500.74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$48,945.74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4/16/19 $86,338.50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139700</xdr:rowOff>
    </xdr:from>
    <xdr:to>
      <xdr:col>1</xdr:col>
      <xdr:colOff>2463800</xdr:colOff>
      <xdr:row>35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95250" y="6438900"/>
          <a:ext cx="25844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2/11/19: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$43,773.06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$968.75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$13,008.24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$48,942.74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2/11/19 $106,692.79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139700</xdr:rowOff>
    </xdr:from>
    <xdr:to>
      <xdr:col>1</xdr:col>
      <xdr:colOff>2463800</xdr:colOff>
      <xdr:row>35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5250" y="6045200"/>
          <a:ext cx="25844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11/12/18: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$48,096.06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$968.69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$13,038.24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$46,086.80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11/12/18 $108,189.79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139700</xdr:rowOff>
    </xdr:from>
    <xdr:to>
      <xdr:col>1</xdr:col>
      <xdr:colOff>2463800</xdr:colOff>
      <xdr:row>35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5695950"/>
          <a:ext cx="258445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9/9/18:</a:t>
          </a:r>
        </a:p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$33,284.46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$968.64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$13,053.24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$46,082.16</a:t>
          </a:r>
        </a:p>
        <a:p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9/9/18 $93,388.50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93</xdr:row>
      <xdr:rowOff>82550</xdr:rowOff>
    </xdr:from>
    <xdr:to>
      <xdr:col>11</xdr:col>
      <xdr:colOff>838200</xdr:colOff>
      <xdr:row>100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4419600" y="16510000"/>
          <a:ext cx="3035300" cy="138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6/30/18: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$3,750.50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$968.59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$6,895.74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$47,942.15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6/30 $59,556.98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1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74</xdr:row>
      <xdr:rowOff>152400</xdr:rowOff>
    </xdr:from>
    <xdr:to>
      <xdr:col>15</xdr:col>
      <xdr:colOff>5242560</xdr:colOff>
      <xdr:row>81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9639300" y="9423400"/>
          <a:ext cx="4937760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4/15/18: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$17,454.28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$5,468.19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$6,918.24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$41,826.78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4/15/18 $74,667.49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Beginning Cash 7/1/17 $62,333.12</a:t>
          </a:r>
        </a:p>
        <a:p>
          <a:endParaRPr lang="en-US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Net Cash Change $9,334.37</a:t>
          </a:r>
          <a:endParaRPr lang="en-US" sz="14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1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123825</xdr:colOff>
          <xdr:row>0</xdr:row>
          <xdr:rowOff>228600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1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304800</xdr:colOff>
      <xdr:row>74</xdr:row>
      <xdr:rowOff>152400</xdr:rowOff>
    </xdr:from>
    <xdr:to>
      <xdr:col>15</xdr:col>
      <xdr:colOff>5242560</xdr:colOff>
      <xdr:row>81</xdr:row>
      <xdr:rowOff>266700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9639300" y="8420100"/>
          <a:ext cx="4937760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>
              <a:latin typeface="Times New Roman" panose="02020603050405020304" pitchFamily="18" charset="0"/>
              <a:cs typeface="Times New Roman" panose="02020603050405020304" pitchFamily="18" charset="0"/>
            </a:rPr>
            <a:t>CASH BALANCES as of 3/13/18:</a:t>
          </a:r>
        </a:p>
        <a:p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Checking</a:t>
          </a:r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Chase $18,981.87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Chase $5,468.06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Checking Wintrust $6,925.74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Savings Wintrust $41,532.15</a:t>
          </a: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Total Cash 3/13/18 $72,907.82</a:t>
          </a:r>
        </a:p>
        <a:p>
          <a:endParaRPr lang="en-U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Beginning Cash 7/1/17 $62,333.12</a:t>
          </a:r>
        </a:p>
        <a:p>
          <a:endParaRPr lang="en-US" sz="1400" b="1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Net Cash Change $10,574.70</a:t>
          </a:r>
          <a:endParaRPr lang="en-US" sz="14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2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image" Target="../media/image4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7" Type="http://schemas.openxmlformats.org/officeDocument/2006/relationships/image" Target="../media/image6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image" Target="../media/image8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image" Target="../media/image10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image" Target="../media/image12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F5D4-3874-40E3-8251-DB4604392548}">
  <sheetPr>
    <pageSetUpPr fitToPage="1"/>
  </sheetPr>
  <dimension ref="A1:G53"/>
  <sheetViews>
    <sheetView tabSelected="1" zoomScaleNormal="100" workbookViewId="0">
      <selection activeCell="B12" sqref="B12"/>
    </sheetView>
  </sheetViews>
  <sheetFormatPr defaultColWidth="9.140625" defaultRowHeight="15" x14ac:dyDescent="0.25"/>
  <cols>
    <col min="1" max="1" width="3.28515625" style="189" customWidth="1"/>
    <col min="2" max="2" width="46.7109375" style="189" bestFit="1" customWidth="1"/>
    <col min="3" max="3" width="20.85546875" style="189" customWidth="1"/>
    <col min="4" max="4" width="17.7109375" style="189" bestFit="1" customWidth="1"/>
    <col min="5" max="5" width="16.5703125" style="189" bestFit="1" customWidth="1"/>
    <col min="6" max="6" width="22" style="189" bestFit="1" customWidth="1"/>
    <col min="7" max="7" width="65" style="189" bestFit="1" customWidth="1"/>
    <col min="8" max="16384" width="9.140625" style="189"/>
  </cols>
  <sheetData>
    <row r="1" spans="1:7" ht="19.5" customHeight="1" x14ac:dyDescent="0.25">
      <c r="A1" s="240" t="s">
        <v>331</v>
      </c>
      <c r="B1" s="241"/>
      <c r="C1" s="241"/>
      <c r="D1" s="241"/>
      <c r="E1" s="241"/>
      <c r="F1" s="241"/>
      <c r="G1" s="242"/>
    </row>
    <row r="2" spans="1:7" ht="19.5" customHeight="1" x14ac:dyDescent="0.25">
      <c r="A2" s="243"/>
      <c r="B2" s="244"/>
      <c r="C2" s="244"/>
      <c r="D2" s="244"/>
      <c r="E2" s="244"/>
      <c r="F2" s="244"/>
      <c r="G2" s="245"/>
    </row>
    <row r="3" spans="1:7" ht="47.25" x14ac:dyDescent="0.25">
      <c r="A3" s="190"/>
      <c r="B3" s="190"/>
      <c r="C3" s="191" t="s">
        <v>315</v>
      </c>
      <c r="D3" s="191" t="s">
        <v>288</v>
      </c>
      <c r="E3" s="192" t="s">
        <v>289</v>
      </c>
      <c r="F3" s="191" t="s">
        <v>290</v>
      </c>
      <c r="G3" s="193" t="s">
        <v>291</v>
      </c>
    </row>
    <row r="4" spans="1:7" ht="15.75" x14ac:dyDescent="0.25">
      <c r="A4" s="246" t="s">
        <v>4</v>
      </c>
      <c r="B4" s="246"/>
      <c r="C4" s="227"/>
      <c r="D4" s="194"/>
      <c r="E4" s="195"/>
      <c r="F4" s="194"/>
      <c r="G4" s="194"/>
    </row>
    <row r="5" spans="1:7" ht="15.75" x14ac:dyDescent="0.25">
      <c r="A5" s="196"/>
      <c r="B5" s="196" t="s">
        <v>272</v>
      </c>
      <c r="C5" s="197">
        <v>8000</v>
      </c>
      <c r="D5" s="197">
        <v>6173.75</v>
      </c>
      <c r="E5" s="198">
        <v>13735.87</v>
      </c>
      <c r="F5" s="197">
        <v>5000</v>
      </c>
      <c r="G5" s="197" t="s">
        <v>320</v>
      </c>
    </row>
    <row r="6" spans="1:7" ht="15.75" x14ac:dyDescent="0.25">
      <c r="A6" s="196"/>
      <c r="B6" s="196" t="s">
        <v>11</v>
      </c>
      <c r="C6" s="197">
        <f>SUM(C7:C8)</f>
        <v>16000</v>
      </c>
      <c r="D6" s="197">
        <f>SUM(D7:D8)</f>
        <v>15775.05</v>
      </c>
      <c r="E6" s="199">
        <v>19064.89</v>
      </c>
      <c r="F6" s="197">
        <v>11000</v>
      </c>
      <c r="G6" s="197"/>
    </row>
    <row r="7" spans="1:7" x14ac:dyDescent="0.25">
      <c r="B7" s="200" t="s">
        <v>322</v>
      </c>
      <c r="C7" s="232">
        <v>15000</v>
      </c>
      <c r="D7" s="223">
        <v>15775.05</v>
      </c>
      <c r="E7" s="223"/>
      <c r="F7" s="223"/>
      <c r="G7" s="224"/>
    </row>
    <row r="8" spans="1:7" ht="15.75" x14ac:dyDescent="0.25">
      <c r="A8" s="196"/>
      <c r="B8" s="200" t="s">
        <v>299</v>
      </c>
      <c r="C8" s="232">
        <v>1000</v>
      </c>
      <c r="D8" s="198">
        <v>0</v>
      </c>
      <c r="E8" s="199"/>
      <c r="F8" s="198"/>
      <c r="G8" s="197" t="s">
        <v>316</v>
      </c>
    </row>
    <row r="9" spans="1:7" ht="31.5" x14ac:dyDescent="0.25">
      <c r="A9" s="196"/>
      <c r="B9" s="196" t="s">
        <v>285</v>
      </c>
      <c r="C9" s="231">
        <v>2500</v>
      </c>
      <c r="D9" s="197">
        <v>1609.28</v>
      </c>
      <c r="E9" s="199">
        <v>5247</v>
      </c>
      <c r="F9" s="197">
        <v>2500</v>
      </c>
      <c r="G9" s="234" t="s">
        <v>319</v>
      </c>
    </row>
    <row r="10" spans="1:7" ht="15.75" x14ac:dyDescent="0.25">
      <c r="A10" s="196"/>
      <c r="B10" s="196" t="s">
        <v>325</v>
      </c>
      <c r="C10" s="231">
        <v>2000</v>
      </c>
      <c r="D10" s="197"/>
      <c r="E10" s="199"/>
      <c r="F10" s="197"/>
      <c r="G10" s="234"/>
    </row>
    <row r="11" spans="1:7" ht="15.75" x14ac:dyDescent="0.25">
      <c r="A11" s="196"/>
      <c r="B11" s="196" t="s">
        <v>202</v>
      </c>
      <c r="C11" s="231">
        <v>16000</v>
      </c>
      <c r="D11" s="197">
        <v>0</v>
      </c>
      <c r="E11" s="199">
        <v>18088.48</v>
      </c>
      <c r="F11" s="197">
        <v>0</v>
      </c>
      <c r="G11" s="197"/>
    </row>
    <row r="12" spans="1:7" ht="15.75" x14ac:dyDescent="0.25">
      <c r="A12" s="196"/>
      <c r="B12" s="196" t="s">
        <v>203</v>
      </c>
      <c r="C12" s="231">
        <v>2000</v>
      </c>
      <c r="D12" s="197">
        <v>0</v>
      </c>
      <c r="E12" s="199">
        <v>-384.69</v>
      </c>
      <c r="F12" s="197">
        <v>2000</v>
      </c>
      <c r="G12" s="197"/>
    </row>
    <row r="13" spans="1:7" ht="15.75" x14ac:dyDescent="0.25">
      <c r="A13" s="196"/>
      <c r="B13" s="196" t="s">
        <v>44</v>
      </c>
      <c r="C13" s="231">
        <v>3000</v>
      </c>
      <c r="D13" s="197">
        <v>0</v>
      </c>
      <c r="E13" s="199">
        <v>3310</v>
      </c>
      <c r="F13" s="197">
        <v>0</v>
      </c>
      <c r="G13" s="197"/>
    </row>
    <row r="14" spans="1:7" ht="15.75" x14ac:dyDescent="0.25">
      <c r="A14" s="196"/>
      <c r="B14" s="196" t="s">
        <v>46</v>
      </c>
      <c r="C14" s="231">
        <v>900</v>
      </c>
      <c r="D14" s="197">
        <v>0</v>
      </c>
      <c r="E14" s="199">
        <v>1020</v>
      </c>
      <c r="F14" s="197">
        <v>0</v>
      </c>
      <c r="G14" s="197"/>
    </row>
    <row r="15" spans="1:7" ht="15.75" x14ac:dyDescent="0.25">
      <c r="A15" s="196"/>
      <c r="B15" s="196" t="s">
        <v>49</v>
      </c>
      <c r="C15" s="231">
        <v>3000</v>
      </c>
      <c r="D15" s="202">
        <v>10280.56</v>
      </c>
      <c r="E15" s="199">
        <v>1244.32</v>
      </c>
      <c r="F15" s="202">
        <v>2600</v>
      </c>
      <c r="G15" s="197"/>
    </row>
    <row r="16" spans="1:7" ht="15.75" x14ac:dyDescent="0.25">
      <c r="A16" s="196"/>
      <c r="B16" s="196" t="s">
        <v>263</v>
      </c>
      <c r="C16" s="231">
        <v>2000</v>
      </c>
      <c r="D16" s="197">
        <v>2515.5</v>
      </c>
      <c r="E16" s="199"/>
      <c r="F16" s="197">
        <v>1300</v>
      </c>
      <c r="G16" s="197"/>
    </row>
    <row r="17" spans="1:7" ht="15.75" x14ac:dyDescent="0.25">
      <c r="A17" s="246" t="s">
        <v>53</v>
      </c>
      <c r="B17" s="246"/>
      <c r="C17" s="203">
        <f>SUM(C5, C6, C9:C16)</f>
        <v>55400</v>
      </c>
      <c r="D17" s="203">
        <f>SUM(D5, D6, D9:D16)</f>
        <v>36354.14</v>
      </c>
      <c r="E17" s="204">
        <f>ROUND(SUM(E4:E16),5)</f>
        <v>61325.87</v>
      </c>
      <c r="F17" s="203">
        <f>ROUND(SUM(F5:F16),5)</f>
        <v>24400</v>
      </c>
      <c r="G17" s="203"/>
    </row>
    <row r="18" spans="1:7" ht="15.75" x14ac:dyDescent="0.25">
      <c r="A18" s="246" t="s">
        <v>6</v>
      </c>
      <c r="B18" s="246"/>
      <c r="C18" s="233"/>
      <c r="D18" s="197"/>
      <c r="E18" s="198"/>
      <c r="F18" s="197"/>
      <c r="G18" s="197"/>
    </row>
    <row r="19" spans="1:7" ht="15.75" x14ac:dyDescent="0.25">
      <c r="A19" s="196"/>
      <c r="B19" s="196" t="s">
        <v>54</v>
      </c>
      <c r="C19" s="197">
        <f>SUM(C20:C25)</f>
        <v>3060</v>
      </c>
      <c r="D19" s="197">
        <f>SUM(D20:D25)</f>
        <v>2895.2999999999997</v>
      </c>
      <c r="E19" s="198">
        <f>SUM(E20:E25)</f>
        <v>3209.01</v>
      </c>
      <c r="F19" s="197">
        <f>SUM(F20:F25)</f>
        <v>2950</v>
      </c>
      <c r="G19" s="197"/>
    </row>
    <row r="20" spans="1:7" x14ac:dyDescent="0.25">
      <c r="A20" s="200"/>
      <c r="B20" s="200" t="s">
        <v>216</v>
      </c>
      <c r="C20" s="232">
        <v>1500</v>
      </c>
      <c r="D20" s="198">
        <v>1440</v>
      </c>
      <c r="E20" s="198">
        <v>1380</v>
      </c>
      <c r="F20" s="198">
        <v>1400</v>
      </c>
      <c r="G20" s="198"/>
    </row>
    <row r="21" spans="1:7" x14ac:dyDescent="0.25">
      <c r="A21" s="200"/>
      <c r="B21" s="200" t="s">
        <v>215</v>
      </c>
      <c r="C21" s="232">
        <v>800</v>
      </c>
      <c r="D21" s="198">
        <v>645.62</v>
      </c>
      <c r="E21" s="198">
        <v>1081.9000000000001</v>
      </c>
      <c r="F21" s="198">
        <v>800</v>
      </c>
      <c r="G21" s="198"/>
    </row>
    <row r="22" spans="1:7" x14ac:dyDescent="0.25">
      <c r="A22" s="200"/>
      <c r="B22" s="200" t="s">
        <v>214</v>
      </c>
      <c r="C22" s="232">
        <v>100</v>
      </c>
      <c r="D22" s="198">
        <v>167.71</v>
      </c>
      <c r="E22" s="198">
        <v>149.5</v>
      </c>
      <c r="F22" s="198">
        <v>100</v>
      </c>
      <c r="G22" s="198"/>
    </row>
    <row r="23" spans="1:7" x14ac:dyDescent="0.25">
      <c r="A23" s="200"/>
      <c r="B23" s="200" t="s">
        <v>212</v>
      </c>
      <c r="C23" s="232">
        <v>600</v>
      </c>
      <c r="D23" s="198">
        <v>590</v>
      </c>
      <c r="E23" s="198">
        <v>601</v>
      </c>
      <c r="F23" s="198">
        <v>600</v>
      </c>
      <c r="G23" s="198"/>
    </row>
    <row r="24" spans="1:7" x14ac:dyDescent="0.25">
      <c r="A24" s="200"/>
      <c r="B24" s="200" t="s">
        <v>282</v>
      </c>
      <c r="C24" s="232" t="s">
        <v>317</v>
      </c>
      <c r="D24" s="198">
        <v>-5.03</v>
      </c>
      <c r="E24" s="198">
        <v>-18.39</v>
      </c>
      <c r="F24" s="198">
        <v>0</v>
      </c>
      <c r="G24" s="198"/>
    </row>
    <row r="25" spans="1:7" x14ac:dyDescent="0.25">
      <c r="A25" s="200"/>
      <c r="B25" s="200" t="s">
        <v>211</v>
      </c>
      <c r="C25" s="232">
        <v>60</v>
      </c>
      <c r="D25" s="198">
        <v>57</v>
      </c>
      <c r="E25" s="198">
        <v>15</v>
      </c>
      <c r="F25" s="198">
        <v>50</v>
      </c>
      <c r="G25" s="198"/>
    </row>
    <row r="26" spans="1:7" ht="15.75" x14ac:dyDescent="0.25">
      <c r="A26" s="196"/>
      <c r="B26" s="196" t="s">
        <v>55</v>
      </c>
      <c r="C26" s="231">
        <v>40000</v>
      </c>
      <c r="D26" s="197">
        <v>9414.3700000000008</v>
      </c>
      <c r="E26" s="198">
        <v>46594.66</v>
      </c>
      <c r="F26" s="197">
        <v>23000</v>
      </c>
      <c r="G26" s="225"/>
    </row>
    <row r="27" spans="1:7" ht="15.75" x14ac:dyDescent="0.25">
      <c r="A27" s="196"/>
      <c r="B27" s="196" t="s">
        <v>56</v>
      </c>
      <c r="C27" s="231">
        <v>1000</v>
      </c>
      <c r="D27" s="197">
        <v>0</v>
      </c>
      <c r="E27" s="198">
        <v>944.92</v>
      </c>
      <c r="F27" s="197">
        <v>1000</v>
      </c>
      <c r="G27" s="202"/>
    </row>
    <row r="28" spans="1:7" ht="15.75" x14ac:dyDescent="0.25">
      <c r="A28" s="196"/>
      <c r="B28" s="196" t="s">
        <v>323</v>
      </c>
      <c r="C28" s="231">
        <v>850</v>
      </c>
      <c r="D28" s="197">
        <v>850</v>
      </c>
      <c r="E28" s="198"/>
      <c r="F28" s="197"/>
      <c r="G28" s="202" t="s">
        <v>324</v>
      </c>
    </row>
    <row r="29" spans="1:7" ht="15.75" x14ac:dyDescent="0.25">
      <c r="A29" s="196"/>
      <c r="B29" s="196" t="s">
        <v>57</v>
      </c>
      <c r="C29" s="231">
        <v>2700</v>
      </c>
      <c r="D29" s="197">
        <v>2214.31</v>
      </c>
      <c r="E29" s="198">
        <v>0</v>
      </c>
      <c r="F29" s="197">
        <v>2700</v>
      </c>
      <c r="G29" s="202"/>
    </row>
    <row r="30" spans="1:7" ht="15.75" x14ac:dyDescent="0.25">
      <c r="A30" s="196"/>
      <c r="B30" s="196" t="s">
        <v>58</v>
      </c>
      <c r="C30" s="231">
        <v>6000</v>
      </c>
      <c r="D30" s="197">
        <v>0</v>
      </c>
      <c r="E30" s="198">
        <v>6000</v>
      </c>
      <c r="F30" s="197">
        <v>0</v>
      </c>
      <c r="G30" s="202"/>
    </row>
    <row r="31" spans="1:7" ht="15.75" x14ac:dyDescent="0.25">
      <c r="A31" s="196"/>
      <c r="B31" s="196" t="s">
        <v>59</v>
      </c>
      <c r="C31" s="197">
        <f>SUM(C32:C33)</f>
        <v>800</v>
      </c>
      <c r="D31" s="197">
        <f>SUM(D32:D33)</f>
        <v>-51.45</v>
      </c>
      <c r="E31" s="198">
        <v>296.98</v>
      </c>
      <c r="F31" s="197">
        <f>SUM(F32:F33)</f>
        <v>350</v>
      </c>
      <c r="G31" s="202"/>
    </row>
    <row r="32" spans="1:7" x14ac:dyDescent="0.25">
      <c r="A32" s="205"/>
      <c r="B32" s="200" t="s">
        <v>220</v>
      </c>
      <c r="C32" s="232">
        <v>450</v>
      </c>
      <c r="D32" s="198">
        <v>0</v>
      </c>
      <c r="E32" s="198">
        <v>296.98</v>
      </c>
      <c r="F32" s="198">
        <v>0</v>
      </c>
      <c r="G32" s="199"/>
    </row>
    <row r="33" spans="1:7" x14ac:dyDescent="0.25">
      <c r="A33" s="205"/>
      <c r="B33" s="200" t="s">
        <v>221</v>
      </c>
      <c r="C33" s="232">
        <v>350</v>
      </c>
      <c r="D33" s="198">
        <v>-51.45</v>
      </c>
      <c r="E33" s="199">
        <v>0</v>
      </c>
      <c r="F33" s="198">
        <v>350</v>
      </c>
      <c r="G33" s="199"/>
    </row>
    <row r="34" spans="1:7" ht="15.75" x14ac:dyDescent="0.25">
      <c r="A34" s="196"/>
      <c r="B34" s="196" t="s">
        <v>62</v>
      </c>
      <c r="C34" s="231">
        <v>0</v>
      </c>
      <c r="D34" s="197">
        <v>0</v>
      </c>
      <c r="E34" s="199">
        <v>10000</v>
      </c>
      <c r="F34" s="197">
        <v>0</v>
      </c>
      <c r="G34" s="202"/>
    </row>
    <row r="35" spans="1:7" ht="15.75" x14ac:dyDescent="0.25">
      <c r="A35" s="196"/>
      <c r="B35" s="196" t="s">
        <v>205</v>
      </c>
      <c r="C35" s="231">
        <v>3000</v>
      </c>
      <c r="D35" s="197"/>
      <c r="E35" s="199">
        <v>2250</v>
      </c>
      <c r="F35" s="197">
        <v>3000</v>
      </c>
      <c r="G35" s="202"/>
    </row>
    <row r="36" spans="1:7" ht="15.75" x14ac:dyDescent="0.25">
      <c r="A36" s="196"/>
      <c r="B36" s="196" t="s">
        <v>63</v>
      </c>
      <c r="C36" s="202">
        <f>SUM(C37:C39)</f>
        <v>9200</v>
      </c>
      <c r="D36" s="202">
        <f>SUM(D37:D39)</f>
        <v>9008.98</v>
      </c>
      <c r="E36" s="199">
        <f>SUM(E37:E39)</f>
        <v>5027.97</v>
      </c>
      <c r="F36" s="202">
        <f>SUM(F37:F39)</f>
        <v>8600</v>
      </c>
      <c r="G36" s="202"/>
    </row>
    <row r="37" spans="1:7" x14ac:dyDescent="0.25">
      <c r="A37" s="205"/>
      <c r="B37" s="200" t="s">
        <v>327</v>
      </c>
      <c r="C37" s="232">
        <v>2700</v>
      </c>
      <c r="D37" s="198">
        <v>3070.56</v>
      </c>
      <c r="E37" s="199">
        <v>2027.97</v>
      </c>
      <c r="F37" s="198">
        <v>2100</v>
      </c>
      <c r="G37" s="199"/>
    </row>
    <row r="38" spans="1:7" x14ac:dyDescent="0.25">
      <c r="A38" s="205"/>
      <c r="B38" s="200" t="s">
        <v>218</v>
      </c>
      <c r="C38" s="232">
        <v>5000</v>
      </c>
      <c r="D38" s="198">
        <v>5000</v>
      </c>
      <c r="E38" s="199">
        <v>3000</v>
      </c>
      <c r="F38" s="198">
        <v>5000</v>
      </c>
      <c r="G38" s="226"/>
    </row>
    <row r="39" spans="1:7" x14ac:dyDescent="0.25">
      <c r="A39" s="205"/>
      <c r="B39" s="200" t="s">
        <v>219</v>
      </c>
      <c r="C39" s="232">
        <v>1500</v>
      </c>
      <c r="D39" s="198">
        <v>938.42</v>
      </c>
      <c r="E39" s="199">
        <v>0</v>
      </c>
      <c r="F39" s="198">
        <v>1500</v>
      </c>
      <c r="G39" s="199"/>
    </row>
    <row r="40" spans="1:7" ht="15.75" x14ac:dyDescent="0.25">
      <c r="A40" s="196"/>
      <c r="B40" s="196" t="s">
        <v>68</v>
      </c>
      <c r="C40" s="231">
        <v>3000</v>
      </c>
      <c r="D40" s="197">
        <v>1250</v>
      </c>
      <c r="E40" s="199">
        <v>1750.77</v>
      </c>
      <c r="F40" s="197">
        <v>3000</v>
      </c>
      <c r="G40" s="202"/>
    </row>
    <row r="41" spans="1:7" ht="15.75" x14ac:dyDescent="0.25">
      <c r="A41" s="196"/>
      <c r="B41" s="196" t="s">
        <v>326</v>
      </c>
      <c r="C41" s="231">
        <v>200</v>
      </c>
      <c r="D41" s="197">
        <v>15.11</v>
      </c>
      <c r="E41" s="199"/>
      <c r="F41" s="197"/>
      <c r="G41" s="202"/>
    </row>
    <row r="42" spans="1:7" ht="15.75" x14ac:dyDescent="0.25">
      <c r="A42" s="246" t="s">
        <v>69</v>
      </c>
      <c r="B42" s="246"/>
      <c r="C42" s="203">
        <f>SUM(C19, C26, C27, C28, C29, C30, C31, C34, C35, C36, C40, C41)</f>
        <v>69810</v>
      </c>
      <c r="D42" s="203">
        <f>SUM(D19, D26, D27, D28,D29, D30, D31, D34, D35, D36, D40, D41)</f>
        <v>25596.62</v>
      </c>
      <c r="E42" s="204">
        <f>SUM(E19, E26, E27, E29, E30, E31, E34, E35, E36, E40)</f>
        <v>76074.310000000012</v>
      </c>
      <c r="F42" s="203">
        <f>SUM(F19, F26, F27, F29, F30, F31, F34, F35, F36, F40)</f>
        <v>44600</v>
      </c>
      <c r="G42" s="203"/>
    </row>
    <row r="43" spans="1:7" ht="15.75" x14ac:dyDescent="0.25">
      <c r="A43" s="196"/>
      <c r="B43" s="196"/>
      <c r="C43" s="206">
        <f>ROUND(C17-C42,5)</f>
        <v>-14410</v>
      </c>
      <c r="D43" s="206">
        <f>ROUND(D17-D42,5)</f>
        <v>10757.52</v>
      </c>
      <c r="E43" s="207">
        <f>ROUND(E17-E42,5)</f>
        <v>-14748.44</v>
      </c>
      <c r="F43" s="206">
        <f>ROUND(F17-F42,5)</f>
        <v>-20200</v>
      </c>
      <c r="G43" s="206"/>
    </row>
    <row r="44" spans="1:7" ht="15.75" x14ac:dyDescent="0.25">
      <c r="A44" s="208"/>
      <c r="B44" s="208"/>
      <c r="C44" s="208"/>
      <c r="D44" s="208"/>
      <c r="E44" s="208"/>
      <c r="F44" s="208"/>
      <c r="G44" s="208"/>
    </row>
    <row r="45" spans="1:7" ht="15.75" x14ac:dyDescent="0.25">
      <c r="A45" s="208"/>
      <c r="B45" s="209" t="s">
        <v>93</v>
      </c>
      <c r="C45" s="209"/>
      <c r="D45" s="209"/>
      <c r="E45" s="209"/>
      <c r="F45" s="209"/>
      <c r="G45" s="209"/>
    </row>
    <row r="46" spans="1:7" ht="15.75" x14ac:dyDescent="0.25">
      <c r="A46" s="208"/>
      <c r="B46" s="235" t="s">
        <v>318</v>
      </c>
      <c r="C46" s="236">
        <v>64093.63</v>
      </c>
      <c r="D46" s="235"/>
      <c r="E46" s="236"/>
      <c r="F46" s="236"/>
      <c r="G46" s="236"/>
    </row>
    <row r="47" spans="1:7" ht="15.75" x14ac:dyDescent="0.25">
      <c r="A47" s="208"/>
      <c r="B47" s="235" t="s">
        <v>95</v>
      </c>
      <c r="C47" s="238">
        <f>C43</f>
        <v>-14410</v>
      </c>
      <c r="D47" s="235"/>
      <c r="E47" s="236"/>
      <c r="F47" s="236"/>
      <c r="G47" s="236"/>
    </row>
    <row r="48" spans="1:7" ht="15.75" x14ac:dyDescent="0.25">
      <c r="A48" s="208"/>
      <c r="B48" s="237" t="s">
        <v>321</v>
      </c>
      <c r="C48" s="239">
        <f>SUM(C46:C47)</f>
        <v>49683.63</v>
      </c>
      <c r="D48" s="235"/>
      <c r="E48" s="236"/>
      <c r="F48" s="236"/>
      <c r="G48" s="236"/>
    </row>
    <row r="49" spans="1:7" ht="16.5" thickBot="1" x14ac:dyDescent="0.3">
      <c r="A49" s="212"/>
      <c r="B49" s="212"/>
      <c r="C49" s="212"/>
      <c r="D49" s="213"/>
      <c r="E49" s="213"/>
      <c r="F49" s="213"/>
      <c r="G49" s="212"/>
    </row>
    <row r="50" spans="1:7" ht="15.75" x14ac:dyDescent="0.25">
      <c r="A50" s="212"/>
      <c r="B50" s="214" t="s">
        <v>328</v>
      </c>
      <c r="C50" s="228"/>
      <c r="D50" s="215"/>
      <c r="E50" s="216"/>
      <c r="F50" s="217"/>
      <c r="G50" s="217"/>
    </row>
    <row r="51" spans="1:7" ht="15.75" x14ac:dyDescent="0.25">
      <c r="A51" s="212"/>
      <c r="B51" s="218" t="s">
        <v>240</v>
      </c>
      <c r="C51" s="229"/>
      <c r="D51" s="217"/>
      <c r="E51" s="219"/>
      <c r="F51" s="217"/>
      <c r="G51" s="217"/>
    </row>
    <row r="52" spans="1:7" ht="15.75" x14ac:dyDescent="0.25">
      <c r="A52" s="212"/>
      <c r="B52" s="218" t="s">
        <v>241</v>
      </c>
      <c r="C52" s="229"/>
      <c r="D52" s="217"/>
      <c r="E52" s="219"/>
      <c r="F52" s="217"/>
      <c r="G52" s="217"/>
    </row>
    <row r="53" spans="1:7" ht="16.5" thickBot="1" x14ac:dyDescent="0.3">
      <c r="A53" s="212"/>
      <c r="B53" s="220" t="s">
        <v>242</v>
      </c>
      <c r="C53" s="230"/>
      <c r="D53" s="221"/>
      <c r="E53" s="222"/>
      <c r="F53" s="217"/>
      <c r="G53" s="217"/>
    </row>
  </sheetData>
  <mergeCells count="5">
    <mergeCell ref="A1:G2"/>
    <mergeCell ref="A4:B4"/>
    <mergeCell ref="A17:B17"/>
    <mergeCell ref="A18:B18"/>
    <mergeCell ref="A42:B42"/>
  </mergeCells>
  <pageMargins left="0.25" right="0.25" top="0.75" bottom="0.75" header="0.3" footer="0.3"/>
  <pageSetup scale="5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workbookViewId="0">
      <selection activeCell="I7" sqref="I7"/>
    </sheetView>
  </sheetViews>
  <sheetFormatPr defaultColWidth="8.85546875" defaultRowHeight="15.75" x14ac:dyDescent="0.25"/>
  <cols>
    <col min="1" max="1" width="4.7109375" style="1" customWidth="1"/>
    <col min="2" max="2" width="34.5703125" style="1" bestFit="1" customWidth="1"/>
    <col min="3" max="3" width="2.85546875" style="1" customWidth="1"/>
    <col min="4" max="4" width="19.7109375" style="1" bestFit="1" customWidth="1"/>
    <col min="5" max="5" width="2.85546875" style="1" customWidth="1"/>
    <col min="6" max="6" width="12.7109375" style="1" bestFit="1" customWidth="1"/>
    <col min="7" max="7" width="2.85546875" style="1" customWidth="1"/>
    <col min="8" max="8" width="13.5703125" style="1" bestFit="1" customWidth="1"/>
    <col min="9" max="9" width="49.42578125" style="1" customWidth="1"/>
    <col min="10" max="10" width="8.85546875" style="1"/>
    <col min="11" max="11" width="12.85546875" style="1" bestFit="1" customWidth="1"/>
    <col min="12" max="16384" width="8.85546875" style="1"/>
  </cols>
  <sheetData>
    <row r="1" spans="1:9" ht="21.95" customHeight="1" x14ac:dyDescent="0.25">
      <c r="A1" s="256" t="s">
        <v>231</v>
      </c>
      <c r="B1" s="257"/>
      <c r="C1" s="257"/>
      <c r="D1" s="257"/>
      <c r="E1" s="257"/>
      <c r="F1" s="257"/>
      <c r="G1" s="257"/>
      <c r="H1" s="257"/>
      <c r="I1" s="258"/>
    </row>
    <row r="2" spans="1:9" ht="16.5" customHeight="1" x14ac:dyDescent="0.25">
      <c r="A2" s="259"/>
      <c r="B2" s="260"/>
      <c r="C2" s="260"/>
      <c r="D2" s="260"/>
      <c r="E2" s="260"/>
      <c r="F2" s="260"/>
      <c r="G2" s="260"/>
      <c r="H2" s="260"/>
      <c r="I2" s="261"/>
    </row>
    <row r="3" spans="1:9" ht="65.45" customHeight="1" x14ac:dyDescent="0.25">
      <c r="A3" s="108"/>
      <c r="B3" s="108"/>
      <c r="C3" s="109"/>
      <c r="D3" s="109" t="s">
        <v>234</v>
      </c>
      <c r="E3" s="110"/>
      <c r="F3" s="109" t="s">
        <v>233</v>
      </c>
      <c r="G3" s="111"/>
      <c r="H3" s="112" t="s">
        <v>232</v>
      </c>
      <c r="I3" s="109" t="s">
        <v>160</v>
      </c>
    </row>
    <row r="4" spans="1:9" x14ac:dyDescent="0.25">
      <c r="A4" s="113" t="s">
        <v>4</v>
      </c>
      <c r="B4" s="113"/>
      <c r="C4" s="114"/>
      <c r="D4" s="114"/>
      <c r="E4" s="115"/>
      <c r="F4" s="114"/>
      <c r="G4" s="116"/>
      <c r="H4" s="114"/>
      <c r="I4" s="116"/>
    </row>
    <row r="5" spans="1:9" x14ac:dyDescent="0.25">
      <c r="A5" s="113"/>
      <c r="B5" s="113" t="s">
        <v>5</v>
      </c>
      <c r="C5" s="117"/>
      <c r="D5" s="117">
        <v>12860.05</v>
      </c>
      <c r="E5" s="117"/>
      <c r="F5" s="117">
        <v>11970.78</v>
      </c>
      <c r="G5" s="118"/>
      <c r="H5" s="117">
        <v>10000</v>
      </c>
      <c r="I5" s="116" t="s">
        <v>235</v>
      </c>
    </row>
    <row r="6" spans="1:9" x14ac:dyDescent="0.25">
      <c r="A6" s="113"/>
      <c r="B6" s="113" t="s">
        <v>10</v>
      </c>
      <c r="C6" s="117"/>
      <c r="D6" s="117">
        <v>2.66</v>
      </c>
      <c r="E6" s="117"/>
      <c r="F6" s="117">
        <v>30.31</v>
      </c>
      <c r="G6" s="118"/>
      <c r="H6" s="117">
        <v>0</v>
      </c>
      <c r="I6" s="116"/>
    </row>
    <row r="7" spans="1:9" x14ac:dyDescent="0.25">
      <c r="A7" s="113"/>
      <c r="B7" s="113" t="s">
        <v>11</v>
      </c>
      <c r="C7" s="117"/>
      <c r="D7" s="119">
        <v>23200.61</v>
      </c>
      <c r="E7" s="117"/>
      <c r="F7" s="119">
        <v>18806.87</v>
      </c>
      <c r="G7" s="118"/>
      <c r="H7" s="117">
        <v>18500</v>
      </c>
      <c r="I7" s="120" t="s">
        <v>243</v>
      </c>
    </row>
    <row r="8" spans="1:9" x14ac:dyDescent="0.25">
      <c r="A8" s="113"/>
      <c r="B8" s="113" t="s">
        <v>15</v>
      </c>
      <c r="C8" s="117"/>
      <c r="D8" s="119">
        <v>0</v>
      </c>
      <c r="E8" s="117"/>
      <c r="F8" s="119">
        <v>5368.5</v>
      </c>
      <c r="G8" s="118"/>
      <c r="H8" s="117">
        <v>5000</v>
      </c>
      <c r="I8" s="116"/>
    </row>
    <row r="9" spans="1:9" x14ac:dyDescent="0.25">
      <c r="A9" s="113"/>
      <c r="B9" s="113" t="s">
        <v>16</v>
      </c>
      <c r="C9" s="117"/>
      <c r="D9" s="119">
        <v>77</v>
      </c>
      <c r="E9" s="117"/>
      <c r="F9" s="119">
        <v>500</v>
      </c>
      <c r="G9" s="118"/>
      <c r="H9" s="117">
        <v>0</v>
      </c>
      <c r="I9" s="116"/>
    </row>
    <row r="10" spans="1:9" x14ac:dyDescent="0.25">
      <c r="A10" s="113"/>
      <c r="B10" s="113" t="s">
        <v>202</v>
      </c>
      <c r="C10" s="117"/>
      <c r="D10" s="119">
        <v>-919.31</v>
      </c>
      <c r="E10" s="117"/>
      <c r="F10" s="119">
        <v>22392.34</v>
      </c>
      <c r="G10" s="118"/>
      <c r="H10" s="117">
        <f>(4000*3)+5000</f>
        <v>17000</v>
      </c>
      <c r="I10" s="120" t="s">
        <v>236</v>
      </c>
    </row>
    <row r="11" spans="1:9" x14ac:dyDescent="0.25">
      <c r="A11" s="113"/>
      <c r="B11" s="113" t="s">
        <v>203</v>
      </c>
      <c r="C11" s="117"/>
      <c r="D11" s="119">
        <v>0</v>
      </c>
      <c r="E11" s="117"/>
      <c r="F11" s="119">
        <f>3901.73+76.99</f>
        <v>3978.72</v>
      </c>
      <c r="G11" s="118"/>
      <c r="H11" s="117">
        <v>3000</v>
      </c>
      <c r="I11" s="120"/>
    </row>
    <row r="12" spans="1:9" x14ac:dyDescent="0.25">
      <c r="A12" s="113"/>
      <c r="B12" s="113" t="s">
        <v>204</v>
      </c>
      <c r="C12" s="117"/>
      <c r="D12" s="119">
        <v>0</v>
      </c>
      <c r="E12" s="117"/>
      <c r="F12" s="119">
        <v>0</v>
      </c>
      <c r="G12" s="118"/>
      <c r="H12" s="117"/>
      <c r="I12" s="120"/>
    </row>
    <row r="13" spans="1:9" x14ac:dyDescent="0.25">
      <c r="A13" s="113"/>
      <c r="B13" s="113" t="s">
        <v>44</v>
      </c>
      <c r="C13" s="117"/>
      <c r="D13" s="119">
        <v>2700</v>
      </c>
      <c r="E13" s="117"/>
      <c r="F13" s="119">
        <v>3591.11</v>
      </c>
      <c r="G13" s="118"/>
      <c r="H13" s="117">
        <v>2000</v>
      </c>
      <c r="I13" s="116"/>
    </row>
    <row r="14" spans="1:9" x14ac:dyDescent="0.25">
      <c r="A14" s="113"/>
      <c r="B14" s="113" t="s">
        <v>46</v>
      </c>
      <c r="C14" s="117"/>
      <c r="D14" s="119">
        <v>1020</v>
      </c>
      <c r="E14" s="117"/>
      <c r="F14" s="119">
        <v>897</v>
      </c>
      <c r="G14" s="118"/>
      <c r="H14" s="117">
        <f>900</f>
        <v>900</v>
      </c>
      <c r="I14" s="116"/>
    </row>
    <row r="15" spans="1:9" x14ac:dyDescent="0.25">
      <c r="A15" s="113"/>
      <c r="B15" s="113" t="s">
        <v>49</v>
      </c>
      <c r="C15" s="117"/>
      <c r="D15" s="119">
        <v>-13282.4</v>
      </c>
      <c r="E15" s="117"/>
      <c r="F15" s="119">
        <v>90.1</v>
      </c>
      <c r="G15" s="118"/>
      <c r="H15" s="117">
        <v>2600</v>
      </c>
      <c r="I15" s="120" t="s">
        <v>237</v>
      </c>
    </row>
    <row r="16" spans="1:9" x14ac:dyDescent="0.25">
      <c r="A16" s="113"/>
      <c r="B16" s="113" t="s">
        <v>51</v>
      </c>
      <c r="C16" s="117"/>
      <c r="D16" s="117">
        <v>0</v>
      </c>
      <c r="E16" s="117"/>
      <c r="F16" s="117">
        <v>0</v>
      </c>
      <c r="G16" s="118"/>
      <c r="H16" s="117">
        <v>0</v>
      </c>
      <c r="I16" s="116"/>
    </row>
    <row r="17" spans="1:9" x14ac:dyDescent="0.25">
      <c r="A17" s="113" t="s">
        <v>53</v>
      </c>
      <c r="B17" s="113"/>
      <c r="C17" s="121"/>
      <c r="D17" s="121">
        <f>ROUND(SUM(D4:D16),5)</f>
        <v>25658.61</v>
      </c>
      <c r="E17" s="121"/>
      <c r="F17" s="121">
        <f>ROUND(SUM(F4:F16),5)</f>
        <v>67625.73</v>
      </c>
      <c r="G17" s="122"/>
      <c r="H17" s="121">
        <f>ROUND(SUM(H4:H16),5)</f>
        <v>59000</v>
      </c>
      <c r="I17" s="116"/>
    </row>
    <row r="18" spans="1:9" x14ac:dyDescent="0.25">
      <c r="A18" s="113" t="s">
        <v>6</v>
      </c>
      <c r="B18" s="113"/>
      <c r="C18" s="117"/>
      <c r="D18" s="117"/>
      <c r="E18" s="117"/>
      <c r="F18" s="117"/>
      <c r="G18" s="118"/>
      <c r="H18" s="117"/>
      <c r="I18" s="116"/>
    </row>
    <row r="19" spans="1:9" x14ac:dyDescent="0.25">
      <c r="A19" s="113"/>
      <c r="B19" s="113" t="s">
        <v>54</v>
      </c>
      <c r="C19" s="117"/>
      <c r="D19" s="117">
        <v>172.5</v>
      </c>
      <c r="E19" s="117"/>
      <c r="F19" s="117">
        <v>3030.34</v>
      </c>
      <c r="G19" s="118"/>
      <c r="H19" s="117">
        <v>3500</v>
      </c>
      <c r="I19" s="116"/>
    </row>
    <row r="20" spans="1:9" s="39" customFormat="1" ht="15" x14ac:dyDescent="0.25">
      <c r="A20" s="123"/>
      <c r="B20" s="123" t="s">
        <v>216</v>
      </c>
      <c r="C20" s="124"/>
      <c r="D20" s="124">
        <v>0</v>
      </c>
      <c r="E20" s="124"/>
      <c r="F20" s="124">
        <v>1300</v>
      </c>
      <c r="G20" s="125"/>
      <c r="H20" s="124">
        <v>1300</v>
      </c>
      <c r="I20" s="126"/>
    </row>
    <row r="21" spans="1:9" s="39" customFormat="1" ht="15" x14ac:dyDescent="0.25">
      <c r="A21" s="123"/>
      <c r="B21" s="123" t="s">
        <v>215</v>
      </c>
      <c r="C21" s="124"/>
      <c r="D21" s="124">
        <v>120</v>
      </c>
      <c r="E21" s="124"/>
      <c r="F21" s="124">
        <v>861.15</v>
      </c>
      <c r="G21" s="125"/>
      <c r="H21" s="124">
        <v>1550</v>
      </c>
      <c r="I21" s="126"/>
    </row>
    <row r="22" spans="1:9" s="39" customFormat="1" ht="15" x14ac:dyDescent="0.25">
      <c r="A22" s="123"/>
      <c r="B22" s="123" t="s">
        <v>214</v>
      </c>
      <c r="C22" s="124"/>
      <c r="D22" s="124">
        <v>52.5</v>
      </c>
      <c r="E22" s="124"/>
      <c r="F22" s="124">
        <v>251.19</v>
      </c>
      <c r="G22" s="125"/>
      <c r="H22" s="124">
        <v>100</v>
      </c>
      <c r="I22" s="126"/>
    </row>
    <row r="23" spans="1:9" s="39" customFormat="1" ht="15" x14ac:dyDescent="0.25">
      <c r="A23" s="123"/>
      <c r="B23" s="123" t="s">
        <v>213</v>
      </c>
      <c r="C23" s="124"/>
      <c r="D23" s="124">
        <v>0</v>
      </c>
      <c r="E23" s="124"/>
      <c r="F23" s="124">
        <v>0</v>
      </c>
      <c r="G23" s="125"/>
      <c r="H23" s="124">
        <v>0</v>
      </c>
      <c r="I23" s="126"/>
    </row>
    <row r="24" spans="1:9" s="39" customFormat="1" ht="15" x14ac:dyDescent="0.25">
      <c r="A24" s="123"/>
      <c r="B24" s="123" t="s">
        <v>212</v>
      </c>
      <c r="C24" s="124"/>
      <c r="D24" s="124">
        <v>0</v>
      </c>
      <c r="E24" s="124"/>
      <c r="F24" s="124">
        <v>590</v>
      </c>
      <c r="G24" s="125"/>
      <c r="H24" s="124">
        <v>750</v>
      </c>
      <c r="I24" s="126"/>
    </row>
    <row r="25" spans="1:9" s="39" customFormat="1" ht="15" x14ac:dyDescent="0.25">
      <c r="A25" s="123"/>
      <c r="B25" s="123" t="s">
        <v>211</v>
      </c>
      <c r="C25" s="124"/>
      <c r="D25" s="124">
        <v>0</v>
      </c>
      <c r="E25" s="124"/>
      <c r="F25" s="124">
        <v>28</v>
      </c>
      <c r="G25" s="125"/>
      <c r="H25" s="124">
        <v>50</v>
      </c>
      <c r="I25" s="126"/>
    </row>
    <row r="26" spans="1:9" x14ac:dyDescent="0.25">
      <c r="A26" s="113"/>
      <c r="B26" s="113" t="s">
        <v>55</v>
      </c>
      <c r="C26" s="127"/>
      <c r="D26" s="117">
        <v>0</v>
      </c>
      <c r="E26" s="117"/>
      <c r="F26" s="117">
        <v>37962.01</v>
      </c>
      <c r="G26" s="118"/>
      <c r="H26" s="119">
        <v>50000</v>
      </c>
      <c r="I26" s="120"/>
    </row>
    <row r="27" spans="1:9" x14ac:dyDescent="0.25">
      <c r="A27" s="113"/>
      <c r="B27" s="113" t="s">
        <v>56</v>
      </c>
      <c r="C27" s="117"/>
      <c r="D27" s="117">
        <v>0</v>
      </c>
      <c r="E27" s="117"/>
      <c r="F27" s="117">
        <v>1015.59</v>
      </c>
      <c r="G27" s="118"/>
      <c r="H27" s="119">
        <v>1000</v>
      </c>
      <c r="I27" s="116"/>
    </row>
    <row r="28" spans="1:9" x14ac:dyDescent="0.25">
      <c r="A28" s="113"/>
      <c r="B28" s="113" t="s">
        <v>57</v>
      </c>
      <c r="C28" s="117"/>
      <c r="D28" s="117">
        <v>0</v>
      </c>
      <c r="E28" s="117"/>
      <c r="F28" s="117">
        <v>2672.94</v>
      </c>
      <c r="G28" s="118"/>
      <c r="H28" s="119">
        <v>2700</v>
      </c>
      <c r="I28" s="116"/>
    </row>
    <row r="29" spans="1:9" x14ac:dyDescent="0.25">
      <c r="A29" s="113"/>
      <c r="B29" s="113" t="s">
        <v>58</v>
      </c>
      <c r="C29" s="117"/>
      <c r="D29" s="117">
        <v>0</v>
      </c>
      <c r="E29" s="117"/>
      <c r="F29" s="117">
        <v>5000</v>
      </c>
      <c r="G29" s="118"/>
      <c r="H29" s="119">
        <v>6000</v>
      </c>
      <c r="I29" s="116"/>
    </row>
    <row r="30" spans="1:9" x14ac:dyDescent="0.25">
      <c r="A30" s="113"/>
      <c r="B30" s="113" t="s">
        <v>59</v>
      </c>
      <c r="C30" s="117"/>
      <c r="D30" s="117">
        <v>159.91999999999999</v>
      </c>
      <c r="E30" s="117"/>
      <c r="F30" s="117">
        <v>62.17</v>
      </c>
      <c r="G30" s="118"/>
      <c r="H30" s="119">
        <v>800</v>
      </c>
      <c r="I30" s="116"/>
    </row>
    <row r="31" spans="1:9" s="39" customFormat="1" ht="15" x14ac:dyDescent="0.25">
      <c r="A31" s="128"/>
      <c r="B31" s="123" t="s">
        <v>220</v>
      </c>
      <c r="C31" s="124"/>
      <c r="D31" s="124">
        <v>159.91999999999999</v>
      </c>
      <c r="E31" s="124"/>
      <c r="F31" s="124">
        <v>309.01</v>
      </c>
      <c r="G31" s="125"/>
      <c r="H31" s="129">
        <v>450</v>
      </c>
      <c r="I31" s="126"/>
    </row>
    <row r="32" spans="1:9" s="39" customFormat="1" ht="15" x14ac:dyDescent="0.25">
      <c r="A32" s="128"/>
      <c r="B32" s="123" t="s">
        <v>221</v>
      </c>
      <c r="C32" s="124"/>
      <c r="D32" s="129">
        <v>0</v>
      </c>
      <c r="E32" s="124"/>
      <c r="F32" s="129">
        <v>-326.26</v>
      </c>
      <c r="G32" s="125"/>
      <c r="H32" s="129">
        <v>350</v>
      </c>
      <c r="I32" s="126"/>
    </row>
    <row r="33" spans="1:9" x14ac:dyDescent="0.25">
      <c r="A33" s="113"/>
      <c r="B33" s="113" t="s">
        <v>62</v>
      </c>
      <c r="C33" s="117"/>
      <c r="D33" s="119">
        <v>0</v>
      </c>
      <c r="E33" s="117"/>
      <c r="F33" s="119">
        <v>0</v>
      </c>
      <c r="G33" s="118"/>
      <c r="H33" s="119">
        <v>10000</v>
      </c>
      <c r="I33" s="116"/>
    </row>
    <row r="34" spans="1:9" x14ac:dyDescent="0.25">
      <c r="A34" s="113"/>
      <c r="B34" s="113" t="s">
        <v>205</v>
      </c>
      <c r="C34" s="117"/>
      <c r="D34" s="119">
        <v>0</v>
      </c>
      <c r="E34" s="117"/>
      <c r="F34" s="119">
        <v>0</v>
      </c>
      <c r="G34" s="118"/>
      <c r="H34" s="119">
        <v>3000</v>
      </c>
      <c r="I34" s="116"/>
    </row>
    <row r="35" spans="1:9" x14ac:dyDescent="0.25">
      <c r="A35" s="113"/>
      <c r="B35" s="113" t="s">
        <v>63</v>
      </c>
      <c r="C35" s="117"/>
      <c r="D35" s="119"/>
      <c r="E35" s="117"/>
      <c r="F35" s="119">
        <v>6503.36</v>
      </c>
      <c r="G35" s="118"/>
      <c r="H35" s="119">
        <v>6800</v>
      </c>
      <c r="I35" s="116"/>
    </row>
    <row r="36" spans="1:9" s="39" customFormat="1" ht="15" x14ac:dyDescent="0.25">
      <c r="A36" s="128"/>
      <c r="B36" s="123" t="s">
        <v>217</v>
      </c>
      <c r="C36" s="124"/>
      <c r="D36" s="129">
        <v>0</v>
      </c>
      <c r="E36" s="124"/>
      <c r="F36" s="129">
        <v>2170.35</v>
      </c>
      <c r="G36" s="125"/>
      <c r="H36" s="129">
        <v>2300</v>
      </c>
      <c r="I36" s="126"/>
    </row>
    <row r="37" spans="1:9" s="39" customFormat="1" ht="15" x14ac:dyDescent="0.25">
      <c r="A37" s="128"/>
      <c r="B37" s="123" t="s">
        <v>218</v>
      </c>
      <c r="C37" s="124"/>
      <c r="D37" s="129">
        <v>0</v>
      </c>
      <c r="E37" s="124"/>
      <c r="F37" s="129">
        <v>3000</v>
      </c>
      <c r="G37" s="125"/>
      <c r="H37" s="129">
        <v>3000</v>
      </c>
      <c r="I37" s="126"/>
    </row>
    <row r="38" spans="1:9" s="39" customFormat="1" ht="15" x14ac:dyDescent="0.25">
      <c r="A38" s="128"/>
      <c r="B38" s="123" t="s">
        <v>219</v>
      </c>
      <c r="C38" s="124"/>
      <c r="D38" s="129">
        <v>0</v>
      </c>
      <c r="E38" s="124"/>
      <c r="F38" s="129">
        <v>1333.01</v>
      </c>
      <c r="G38" s="125"/>
      <c r="H38" s="129">
        <v>1500</v>
      </c>
      <c r="I38" s="126"/>
    </row>
    <row r="39" spans="1:9" x14ac:dyDescent="0.25">
      <c r="A39" s="113"/>
      <c r="B39" s="113" t="s">
        <v>68</v>
      </c>
      <c r="C39" s="117"/>
      <c r="D39" s="119">
        <v>1270.77</v>
      </c>
      <c r="E39" s="117"/>
      <c r="F39" s="119">
        <v>900</v>
      </c>
      <c r="G39" s="118"/>
      <c r="H39" s="119">
        <f>1000+1500</f>
        <v>2500</v>
      </c>
      <c r="I39" s="116" t="s">
        <v>244</v>
      </c>
    </row>
    <row r="40" spans="1:9" x14ac:dyDescent="0.25">
      <c r="A40" s="113" t="s">
        <v>69</v>
      </c>
      <c r="B40" s="113"/>
      <c r="C40" s="121"/>
      <c r="D40" s="121">
        <f>ROUND(SUM(D18:D39),5)-D19-D35-D30</f>
        <v>1603.1899999999998</v>
      </c>
      <c r="E40" s="121"/>
      <c r="F40" s="121">
        <f>ROUND(SUM(F18:F39),5)-F19-F35-F30</f>
        <v>57066.990000000005</v>
      </c>
      <c r="G40" s="122"/>
      <c r="H40" s="121">
        <f>ROUND(SUM(H18:H39),5)-H19-H35</f>
        <v>87350</v>
      </c>
      <c r="I40" s="116"/>
    </row>
    <row r="41" spans="1:9" x14ac:dyDescent="0.25">
      <c r="A41" s="113"/>
      <c r="B41" s="113"/>
      <c r="C41" s="130"/>
      <c r="D41" s="130">
        <f>ROUND(D17-D40,5)</f>
        <v>24055.42</v>
      </c>
      <c r="E41" s="130"/>
      <c r="F41" s="130">
        <f>ROUND(F17-F40,5)</f>
        <v>10558.74</v>
      </c>
      <c r="G41" s="130"/>
      <c r="H41" s="130">
        <f>ROUND(H17-H40,5)</f>
        <v>-28350</v>
      </c>
      <c r="I41" s="131"/>
    </row>
    <row r="42" spans="1:9" x14ac:dyDescent="0.2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x14ac:dyDescent="0.25">
      <c r="A43" s="116"/>
      <c r="B43" s="116"/>
      <c r="C43" s="132"/>
      <c r="D43" s="133" t="s">
        <v>93</v>
      </c>
      <c r="E43" s="133"/>
      <c r="F43" s="133"/>
      <c r="G43" s="133"/>
      <c r="H43" s="132"/>
      <c r="I43" s="134"/>
    </row>
    <row r="44" spans="1:9" x14ac:dyDescent="0.25">
      <c r="A44" s="116"/>
      <c r="B44" s="116"/>
      <c r="C44" s="118"/>
      <c r="D44" s="135" t="s">
        <v>230</v>
      </c>
      <c r="E44" s="135"/>
      <c r="F44" s="135"/>
      <c r="G44" s="135"/>
      <c r="H44" s="118">
        <f>'FINAL 18-19'!G33</f>
        <v>68210.55</v>
      </c>
      <c r="I44" s="116"/>
    </row>
    <row r="45" spans="1:9" x14ac:dyDescent="0.25">
      <c r="A45" s="116"/>
      <c r="B45" s="116"/>
      <c r="C45" s="118"/>
      <c r="D45" s="135" t="s">
        <v>95</v>
      </c>
      <c r="E45" s="135"/>
      <c r="F45" s="135"/>
      <c r="G45" s="135"/>
      <c r="H45" s="118">
        <f>D41</f>
        <v>24055.42</v>
      </c>
      <c r="I45" s="116"/>
    </row>
    <row r="46" spans="1:9" x14ac:dyDescent="0.25">
      <c r="A46" s="116"/>
      <c r="B46" s="116"/>
      <c r="C46" s="118"/>
      <c r="D46" s="136" t="s">
        <v>245</v>
      </c>
      <c r="E46" s="135"/>
      <c r="F46" s="135"/>
      <c r="G46" s="135"/>
      <c r="H46" s="118">
        <f>SUM(H44:H45)</f>
        <v>92265.97</v>
      </c>
      <c r="I46" s="116"/>
    </row>
    <row r="47" spans="1:9" ht="16.5" thickBot="1" x14ac:dyDescent="0.3">
      <c r="C47" s="63"/>
      <c r="E47" s="3"/>
      <c r="F47" s="3"/>
      <c r="G47" s="3"/>
      <c r="H47" s="63"/>
    </row>
    <row r="48" spans="1:9" x14ac:dyDescent="0.25">
      <c r="B48" s="137" t="s">
        <v>246</v>
      </c>
      <c r="C48" s="140"/>
      <c r="D48" s="141"/>
      <c r="H48" s="101"/>
    </row>
    <row r="49" spans="2:4" x14ac:dyDescent="0.25">
      <c r="B49" s="138" t="s">
        <v>238</v>
      </c>
      <c r="C49" s="142"/>
      <c r="D49" s="143">
        <v>42511.99</v>
      </c>
    </row>
    <row r="50" spans="2:4" x14ac:dyDescent="0.25">
      <c r="B50" s="138" t="s">
        <v>239</v>
      </c>
      <c r="C50" s="142"/>
      <c r="D50" s="143">
        <v>968.89</v>
      </c>
    </row>
    <row r="51" spans="2:4" x14ac:dyDescent="0.25">
      <c r="B51" s="138" t="s">
        <v>240</v>
      </c>
      <c r="C51" s="142"/>
      <c r="D51" s="143">
        <v>17179.41</v>
      </c>
    </row>
    <row r="52" spans="2:4" x14ac:dyDescent="0.25">
      <c r="B52" s="138" t="s">
        <v>241</v>
      </c>
      <c r="C52" s="142"/>
      <c r="D52" s="143">
        <v>31605.68</v>
      </c>
    </row>
    <row r="53" spans="2:4" ht="16.5" thickBot="1" x14ac:dyDescent="0.3">
      <c r="B53" s="139" t="s">
        <v>242</v>
      </c>
      <c r="C53" s="144"/>
      <c r="D53" s="145">
        <f>SUM(D49:D52)</f>
        <v>92265.97</v>
      </c>
    </row>
  </sheetData>
  <mergeCells count="1">
    <mergeCell ref="A1:I2"/>
  </mergeCells>
  <pageMargins left="0.25" right="0.25" top="0.75" bottom="0.75" header="0.3" footer="0.3"/>
  <pageSetup scale="71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workbookViewId="0">
      <selection activeCell="E10" sqref="E10"/>
    </sheetView>
  </sheetViews>
  <sheetFormatPr defaultColWidth="8.85546875" defaultRowHeight="15.75" x14ac:dyDescent="0.25"/>
  <cols>
    <col min="1" max="1" width="3.140625" style="1" customWidth="1"/>
    <col min="2" max="2" width="41.140625" style="1" bestFit="1" customWidth="1"/>
    <col min="3" max="3" width="14.42578125" style="1" customWidth="1"/>
    <col min="4" max="4" width="2.85546875" style="1" customWidth="1"/>
    <col min="5" max="5" width="12.5703125" style="1" customWidth="1"/>
    <col min="6" max="6" width="2.85546875" style="1" customWidth="1"/>
    <col min="7" max="7" width="12.5703125" style="1" customWidth="1"/>
    <col min="8" max="8" width="2.85546875" style="1" customWidth="1"/>
    <col min="9" max="9" width="13.42578125" style="1" bestFit="1" customWidth="1"/>
    <col min="10" max="10" width="62.42578125" style="1" bestFit="1" customWidth="1"/>
    <col min="11" max="11" width="8.85546875" style="1"/>
    <col min="12" max="12" width="12.85546875" style="1" bestFit="1" customWidth="1"/>
    <col min="13" max="16384" width="8.85546875" style="1"/>
  </cols>
  <sheetData>
    <row r="1" spans="1:10" ht="21.95" customHeight="1" thickBot="1" x14ac:dyDescent="0.3">
      <c r="A1" s="75" t="s">
        <v>228</v>
      </c>
      <c r="B1" s="75"/>
      <c r="C1" s="100"/>
      <c r="D1" s="76"/>
      <c r="E1" s="76"/>
      <c r="F1" s="76"/>
      <c r="G1" s="77"/>
      <c r="H1" s="78"/>
      <c r="I1" s="76"/>
      <c r="J1" s="1" t="s">
        <v>222</v>
      </c>
    </row>
    <row r="2" spans="1:10" ht="17.25" thickTop="1" thickBot="1" x14ac:dyDescent="0.3">
      <c r="A2" s="104"/>
      <c r="B2" s="104"/>
      <c r="C2" s="262" t="s">
        <v>229</v>
      </c>
      <c r="D2" s="98"/>
      <c r="E2" s="76"/>
      <c r="F2" s="76"/>
      <c r="G2" s="77"/>
      <c r="H2" s="78"/>
      <c r="I2" s="76"/>
    </row>
    <row r="3" spans="1:10" ht="65.45" customHeight="1" thickTop="1" thickBot="1" x14ac:dyDescent="0.3">
      <c r="A3" s="79"/>
      <c r="B3" s="79"/>
      <c r="C3" s="263"/>
      <c r="D3" s="99"/>
      <c r="E3" s="80" t="s">
        <v>224</v>
      </c>
      <c r="F3" s="93"/>
      <c r="G3" s="80" t="s">
        <v>0</v>
      </c>
      <c r="H3" s="94"/>
      <c r="I3" s="80" t="s">
        <v>156</v>
      </c>
      <c r="J3" s="80" t="s">
        <v>160</v>
      </c>
    </row>
    <row r="4" spans="1:10" ht="16.5" thickTop="1" x14ac:dyDescent="0.25">
      <c r="A4" s="75" t="s">
        <v>4</v>
      </c>
      <c r="B4" s="75"/>
      <c r="C4" s="81"/>
      <c r="D4" s="81"/>
      <c r="E4" s="81"/>
      <c r="F4" s="82"/>
      <c r="G4" s="81"/>
      <c r="I4" s="81"/>
    </row>
    <row r="5" spans="1:10" x14ac:dyDescent="0.25">
      <c r="A5" s="75"/>
      <c r="B5" s="75" t="s">
        <v>5</v>
      </c>
      <c r="C5" s="83">
        <v>10000</v>
      </c>
      <c r="D5" s="83"/>
      <c r="E5" s="83">
        <v>11970.78</v>
      </c>
      <c r="F5" s="83"/>
      <c r="G5" s="83">
        <v>9504.2099999999991</v>
      </c>
      <c r="H5" s="73"/>
      <c r="I5" s="83">
        <v>10000</v>
      </c>
    </row>
    <row r="6" spans="1:10" x14ac:dyDescent="0.25">
      <c r="A6" s="75"/>
      <c r="B6" s="75" t="s">
        <v>10</v>
      </c>
      <c r="C6" s="83">
        <v>0</v>
      </c>
      <c r="D6" s="83"/>
      <c r="E6" s="83">
        <v>30.31</v>
      </c>
      <c r="F6" s="83"/>
      <c r="G6" s="83">
        <v>32.99</v>
      </c>
      <c r="H6" s="73"/>
      <c r="I6" s="83">
        <v>0</v>
      </c>
    </row>
    <row r="7" spans="1:10" x14ac:dyDescent="0.25">
      <c r="A7" s="75"/>
      <c r="B7" s="75" t="s">
        <v>11</v>
      </c>
      <c r="C7" s="83">
        <v>18500</v>
      </c>
      <c r="D7" s="83"/>
      <c r="E7" s="105">
        <v>18806.87</v>
      </c>
      <c r="F7" s="83"/>
      <c r="G7" s="83">
        <v>18326.689999999999</v>
      </c>
      <c r="H7" s="73"/>
      <c r="I7" s="83">
        <v>20000</v>
      </c>
      <c r="J7" s="78"/>
    </row>
    <row r="8" spans="1:10" x14ac:dyDescent="0.25">
      <c r="A8" s="75"/>
      <c r="B8" s="75" t="s">
        <v>15</v>
      </c>
      <c r="C8" s="83">
        <v>5000</v>
      </c>
      <c r="D8" s="83"/>
      <c r="E8" s="105">
        <v>5368.5</v>
      </c>
      <c r="F8" s="83"/>
      <c r="G8" s="83">
        <v>6278.75</v>
      </c>
      <c r="H8" s="73"/>
      <c r="I8" s="83">
        <v>5000</v>
      </c>
    </row>
    <row r="9" spans="1:10" x14ac:dyDescent="0.25">
      <c r="A9" s="75"/>
      <c r="B9" s="75" t="s">
        <v>16</v>
      </c>
      <c r="C9" s="83">
        <v>0</v>
      </c>
      <c r="D9" s="83"/>
      <c r="E9" s="105">
        <v>500</v>
      </c>
      <c r="F9" s="83"/>
      <c r="G9" s="83">
        <v>500</v>
      </c>
      <c r="H9" s="73"/>
      <c r="I9" s="83">
        <v>0</v>
      </c>
    </row>
    <row r="10" spans="1:10" x14ac:dyDescent="0.25">
      <c r="A10" s="75"/>
      <c r="B10" s="75" t="s">
        <v>202</v>
      </c>
      <c r="C10" s="83">
        <f>(4000*3)+5000</f>
        <v>17000</v>
      </c>
      <c r="D10" s="83"/>
      <c r="E10" s="105">
        <v>22392.34</v>
      </c>
      <c r="F10" s="83"/>
      <c r="G10" s="83">
        <v>13353.45</v>
      </c>
      <c r="H10" s="73"/>
      <c r="I10" s="83">
        <v>20000</v>
      </c>
      <c r="J10" s="78"/>
    </row>
    <row r="11" spans="1:10" x14ac:dyDescent="0.25">
      <c r="A11" s="75"/>
      <c r="B11" s="75" t="s">
        <v>203</v>
      </c>
      <c r="C11" s="83">
        <v>3000</v>
      </c>
      <c r="D11" s="83"/>
      <c r="E11" s="105">
        <f>3901.73+76.99</f>
        <v>3978.72</v>
      </c>
      <c r="F11" s="83"/>
      <c r="G11" s="83">
        <v>6957.63</v>
      </c>
      <c r="H11" s="73"/>
      <c r="I11" s="83"/>
      <c r="J11" s="78"/>
    </row>
    <row r="12" spans="1:10" x14ac:dyDescent="0.25">
      <c r="A12" s="75"/>
      <c r="B12" s="75" t="s">
        <v>204</v>
      </c>
      <c r="C12" s="83"/>
      <c r="D12" s="83"/>
      <c r="E12" s="105">
        <v>0</v>
      </c>
      <c r="F12" s="83"/>
      <c r="G12" s="83">
        <v>-4323.7</v>
      </c>
      <c r="H12" s="73"/>
      <c r="I12" s="83"/>
      <c r="J12" s="78"/>
    </row>
    <row r="13" spans="1:10" x14ac:dyDescent="0.25">
      <c r="A13" s="75"/>
      <c r="B13" s="75" t="s">
        <v>44</v>
      </c>
      <c r="C13" s="83">
        <v>2000</v>
      </c>
      <c r="D13" s="83"/>
      <c r="E13" s="105">
        <v>3591.11</v>
      </c>
      <c r="F13" s="83"/>
      <c r="G13" s="83">
        <v>1910.56</v>
      </c>
      <c r="H13" s="73"/>
      <c r="I13" s="83">
        <v>1500</v>
      </c>
    </row>
    <row r="14" spans="1:10" x14ac:dyDescent="0.25">
      <c r="A14" s="75"/>
      <c r="B14" s="75" t="s">
        <v>46</v>
      </c>
      <c r="C14" s="83">
        <f>900</f>
        <v>900</v>
      </c>
      <c r="D14" s="83"/>
      <c r="E14" s="105">
        <v>897</v>
      </c>
      <c r="F14" s="83"/>
      <c r="G14" s="83">
        <v>1322</v>
      </c>
      <c r="H14" s="73"/>
      <c r="I14" s="83">
        <v>1250</v>
      </c>
    </row>
    <row r="15" spans="1:10" x14ac:dyDescent="0.25">
      <c r="A15" s="75"/>
      <c r="B15" s="75" t="s">
        <v>49</v>
      </c>
      <c r="C15" s="83">
        <v>2600</v>
      </c>
      <c r="D15" s="83"/>
      <c r="E15" s="105">
        <v>90.1</v>
      </c>
      <c r="F15" s="83"/>
      <c r="G15" s="83">
        <v>7019.38</v>
      </c>
      <c r="H15" s="73"/>
      <c r="I15" s="83">
        <v>5000</v>
      </c>
      <c r="J15" s="78"/>
    </row>
    <row r="16" spans="1:10" ht="16.5" thickBot="1" x14ac:dyDescent="0.3">
      <c r="A16" s="75"/>
      <c r="B16" s="75" t="s">
        <v>51</v>
      </c>
      <c r="C16" s="84">
        <v>0</v>
      </c>
      <c r="D16" s="84"/>
      <c r="E16" s="84">
        <v>0</v>
      </c>
      <c r="F16" s="83"/>
      <c r="G16" s="84">
        <v>64</v>
      </c>
      <c r="H16" s="73"/>
      <c r="I16" s="84">
        <v>0</v>
      </c>
    </row>
    <row r="17" spans="1:10" x14ac:dyDescent="0.25">
      <c r="A17" s="75" t="s">
        <v>53</v>
      </c>
      <c r="B17" s="75"/>
      <c r="C17" s="85">
        <f>ROUND(SUM(C4:C16),5)</f>
        <v>59000</v>
      </c>
      <c r="D17" s="85"/>
      <c r="E17" s="85">
        <f>ROUND(SUM(E4:E16),5)</f>
        <v>67625.73</v>
      </c>
      <c r="F17" s="85"/>
      <c r="G17" s="85">
        <f>ROUND(SUM(G4:G16),5)</f>
        <v>60945.96</v>
      </c>
      <c r="H17" s="86"/>
      <c r="I17" s="85">
        <f>ROUND(SUM(I4:I16),5)</f>
        <v>62750</v>
      </c>
    </row>
    <row r="18" spans="1:10" x14ac:dyDescent="0.25">
      <c r="A18" s="75" t="s">
        <v>6</v>
      </c>
      <c r="B18" s="75"/>
      <c r="C18" s="83"/>
      <c r="D18" s="83"/>
      <c r="E18" s="83"/>
      <c r="F18" s="83"/>
      <c r="G18" s="83"/>
      <c r="H18" s="73"/>
      <c r="I18" s="83"/>
    </row>
    <row r="19" spans="1:10" x14ac:dyDescent="0.25">
      <c r="A19" s="75"/>
      <c r="B19" s="75" t="s">
        <v>54</v>
      </c>
      <c r="C19" s="83">
        <v>3500</v>
      </c>
      <c r="D19" s="83"/>
      <c r="E19" s="83">
        <v>3030.34</v>
      </c>
      <c r="F19" s="83"/>
      <c r="G19" s="83">
        <v>2967.09</v>
      </c>
      <c r="H19" s="73"/>
      <c r="I19" s="83">
        <v>3300</v>
      </c>
    </row>
    <row r="20" spans="1:10" s="39" customFormat="1" ht="15" x14ac:dyDescent="0.25">
      <c r="A20" s="45"/>
      <c r="B20" s="45" t="s">
        <v>216</v>
      </c>
      <c r="C20" s="102">
        <v>1300</v>
      </c>
      <c r="D20" s="102"/>
      <c r="E20" s="102">
        <v>1300</v>
      </c>
      <c r="F20" s="102"/>
      <c r="G20" s="102">
        <v>1200</v>
      </c>
      <c r="H20" s="103"/>
      <c r="I20" s="102">
        <v>1200</v>
      </c>
    </row>
    <row r="21" spans="1:10" s="39" customFormat="1" ht="15" x14ac:dyDescent="0.25">
      <c r="A21" s="45"/>
      <c r="B21" s="45" t="s">
        <v>215</v>
      </c>
      <c r="C21" s="102">
        <v>1550</v>
      </c>
      <c r="D21" s="102"/>
      <c r="E21" s="102">
        <v>861.15</v>
      </c>
      <c r="F21" s="102"/>
      <c r="G21" s="102">
        <v>997.11</v>
      </c>
      <c r="H21" s="103"/>
      <c r="I21" s="102">
        <v>1200</v>
      </c>
    </row>
    <row r="22" spans="1:10" s="39" customFormat="1" ht="15" x14ac:dyDescent="0.25">
      <c r="A22" s="45"/>
      <c r="B22" s="45" t="s">
        <v>214</v>
      </c>
      <c r="C22" s="102">
        <v>100</v>
      </c>
      <c r="D22" s="102"/>
      <c r="E22" s="102">
        <v>251.19</v>
      </c>
      <c r="F22" s="102"/>
      <c r="G22" s="102">
        <v>147.5</v>
      </c>
      <c r="H22" s="103"/>
      <c r="I22" s="102">
        <v>100</v>
      </c>
    </row>
    <row r="23" spans="1:10" s="39" customFormat="1" ht="15" x14ac:dyDescent="0.25">
      <c r="A23" s="45"/>
      <c r="B23" s="45" t="s">
        <v>213</v>
      </c>
      <c r="C23" s="102">
        <v>0</v>
      </c>
      <c r="D23" s="102"/>
      <c r="E23" s="102">
        <v>0</v>
      </c>
      <c r="F23" s="102"/>
      <c r="G23" s="102">
        <v>0</v>
      </c>
      <c r="H23" s="103"/>
      <c r="I23" s="102">
        <v>0</v>
      </c>
    </row>
    <row r="24" spans="1:10" s="39" customFormat="1" ht="15" x14ac:dyDescent="0.25">
      <c r="A24" s="45"/>
      <c r="B24" s="45" t="s">
        <v>212</v>
      </c>
      <c r="C24" s="102">
        <v>750</v>
      </c>
      <c r="D24" s="102"/>
      <c r="E24" s="102">
        <v>590</v>
      </c>
      <c r="F24" s="102"/>
      <c r="G24" s="102">
        <v>590</v>
      </c>
      <c r="H24" s="103"/>
      <c r="I24" s="102">
        <v>750</v>
      </c>
    </row>
    <row r="25" spans="1:10" s="39" customFormat="1" ht="15" x14ac:dyDescent="0.25">
      <c r="A25" s="45"/>
      <c r="B25" s="45" t="s">
        <v>211</v>
      </c>
      <c r="C25" s="102">
        <v>50</v>
      </c>
      <c r="D25" s="102"/>
      <c r="E25" s="102">
        <v>28</v>
      </c>
      <c r="F25" s="102"/>
      <c r="G25" s="102">
        <v>32.479999999999997</v>
      </c>
      <c r="H25" s="103"/>
      <c r="I25" s="102">
        <v>50</v>
      </c>
    </row>
    <row r="26" spans="1:10" x14ac:dyDescent="0.25">
      <c r="A26" s="75"/>
      <c r="B26" s="75" t="s">
        <v>55</v>
      </c>
      <c r="C26" s="105">
        <v>50000</v>
      </c>
      <c r="D26" s="97"/>
      <c r="E26" s="83">
        <v>37962.01</v>
      </c>
      <c r="F26" s="83"/>
      <c r="G26" s="83">
        <v>35426.639999999999</v>
      </c>
      <c r="H26" s="73"/>
      <c r="I26" s="97">
        <v>60000</v>
      </c>
      <c r="J26" s="78"/>
    </row>
    <row r="27" spans="1:10" x14ac:dyDescent="0.25">
      <c r="A27" s="75"/>
      <c r="B27" s="75" t="s">
        <v>56</v>
      </c>
      <c r="C27" s="105">
        <v>1000</v>
      </c>
      <c r="D27" s="83"/>
      <c r="E27" s="83">
        <v>1015.59</v>
      </c>
      <c r="F27" s="83"/>
      <c r="G27" s="83">
        <v>564.5</v>
      </c>
      <c r="H27" s="73"/>
      <c r="I27" s="83">
        <v>1000</v>
      </c>
    </row>
    <row r="28" spans="1:10" x14ac:dyDescent="0.25">
      <c r="A28" s="75"/>
      <c r="B28" s="75" t="s">
        <v>57</v>
      </c>
      <c r="C28" s="105">
        <v>2700</v>
      </c>
      <c r="D28" s="83"/>
      <c r="E28" s="83">
        <v>2672.94</v>
      </c>
      <c r="F28" s="83"/>
      <c r="G28" s="83">
        <v>2700</v>
      </c>
      <c r="H28" s="73"/>
      <c r="I28" s="83">
        <v>2600</v>
      </c>
    </row>
    <row r="29" spans="1:10" x14ac:dyDescent="0.25">
      <c r="A29" s="75"/>
      <c r="B29" s="75" t="s">
        <v>58</v>
      </c>
      <c r="C29" s="105">
        <v>6000</v>
      </c>
      <c r="D29" s="83"/>
      <c r="E29" s="83">
        <v>5000</v>
      </c>
      <c r="F29" s="83"/>
      <c r="G29" s="83">
        <v>5000</v>
      </c>
      <c r="H29" s="73"/>
      <c r="I29" s="83">
        <v>5000</v>
      </c>
    </row>
    <row r="30" spans="1:10" x14ac:dyDescent="0.25">
      <c r="A30" s="75"/>
      <c r="B30" s="75" t="s">
        <v>59</v>
      </c>
      <c r="C30" s="105">
        <v>800</v>
      </c>
      <c r="D30" s="83"/>
      <c r="E30" s="83">
        <v>62.17</v>
      </c>
      <c r="F30" s="83"/>
      <c r="G30" s="83">
        <v>-651.4</v>
      </c>
      <c r="H30" s="73"/>
      <c r="I30" s="83">
        <v>800</v>
      </c>
    </row>
    <row r="31" spans="1:10" s="39" customFormat="1" ht="15" x14ac:dyDescent="0.25">
      <c r="A31" s="38"/>
      <c r="B31" s="45" t="s">
        <v>220</v>
      </c>
      <c r="C31" s="106">
        <v>450</v>
      </c>
      <c r="D31" s="102"/>
      <c r="E31" s="102">
        <v>309.01</v>
      </c>
      <c r="F31" s="102"/>
      <c r="G31" s="102">
        <v>218.61</v>
      </c>
      <c r="H31" s="103"/>
      <c r="I31" s="102">
        <v>450</v>
      </c>
    </row>
    <row r="32" spans="1:10" s="39" customFormat="1" ht="15" x14ac:dyDescent="0.25">
      <c r="A32" s="38"/>
      <c r="B32" s="45" t="s">
        <v>221</v>
      </c>
      <c r="C32" s="106">
        <v>350</v>
      </c>
      <c r="D32" s="102"/>
      <c r="E32" s="106">
        <v>326.26</v>
      </c>
      <c r="F32" s="102"/>
      <c r="G32" s="102">
        <v>-870.01</v>
      </c>
      <c r="H32" s="103"/>
      <c r="I32" s="102">
        <v>350</v>
      </c>
    </row>
    <row r="33" spans="1:10" x14ac:dyDescent="0.25">
      <c r="A33" s="75"/>
      <c r="B33" s="75" t="s">
        <v>62</v>
      </c>
      <c r="C33" s="105">
        <v>10000</v>
      </c>
      <c r="D33" s="83"/>
      <c r="E33" s="105">
        <v>0</v>
      </c>
      <c r="F33" s="83"/>
      <c r="G33" s="83">
        <v>10000</v>
      </c>
      <c r="H33" s="73"/>
      <c r="I33" s="83">
        <v>0</v>
      </c>
    </row>
    <row r="34" spans="1:10" x14ac:dyDescent="0.25">
      <c r="A34" s="75"/>
      <c r="B34" s="75" t="s">
        <v>205</v>
      </c>
      <c r="C34" s="105">
        <v>3000</v>
      </c>
      <c r="D34" s="83"/>
      <c r="E34" s="105">
        <v>0</v>
      </c>
      <c r="F34" s="83"/>
      <c r="G34" s="83"/>
      <c r="H34" s="73"/>
      <c r="I34" s="83"/>
    </row>
    <row r="35" spans="1:10" x14ac:dyDescent="0.25">
      <c r="A35" s="75"/>
      <c r="B35" s="75" t="s">
        <v>63</v>
      </c>
      <c r="C35" s="105">
        <v>6800</v>
      </c>
      <c r="D35" s="83"/>
      <c r="E35" s="105">
        <v>6503.36</v>
      </c>
      <c r="F35" s="83"/>
      <c r="G35" s="83">
        <v>6415.27</v>
      </c>
      <c r="H35" s="73"/>
      <c r="I35" s="83">
        <v>6800</v>
      </c>
    </row>
    <row r="36" spans="1:10" s="39" customFormat="1" ht="15" x14ac:dyDescent="0.25">
      <c r="A36" s="38"/>
      <c r="B36" s="45" t="s">
        <v>217</v>
      </c>
      <c r="C36" s="106">
        <v>2300</v>
      </c>
      <c r="D36" s="102"/>
      <c r="E36" s="106">
        <v>2170.35</v>
      </c>
      <c r="F36" s="102"/>
      <c r="G36" s="102">
        <v>2159.85</v>
      </c>
      <c r="H36" s="103"/>
      <c r="I36" s="102">
        <v>2300</v>
      </c>
    </row>
    <row r="37" spans="1:10" s="39" customFormat="1" ht="15" x14ac:dyDescent="0.25">
      <c r="A37" s="38"/>
      <c r="B37" s="45" t="s">
        <v>218</v>
      </c>
      <c r="C37" s="106">
        <v>3000</v>
      </c>
      <c r="D37" s="102"/>
      <c r="E37" s="106">
        <v>3000</v>
      </c>
      <c r="F37" s="102"/>
      <c r="G37" s="102">
        <v>3000</v>
      </c>
      <c r="H37" s="103"/>
      <c r="I37" s="102">
        <v>3000</v>
      </c>
    </row>
    <row r="38" spans="1:10" s="39" customFormat="1" ht="15" x14ac:dyDescent="0.25">
      <c r="A38" s="38"/>
      <c r="B38" s="45" t="s">
        <v>219</v>
      </c>
      <c r="C38" s="106">
        <v>1500</v>
      </c>
      <c r="D38" s="102"/>
      <c r="E38" s="106">
        <v>1333.01</v>
      </c>
      <c r="F38" s="102"/>
      <c r="G38" s="102">
        <v>1255.42</v>
      </c>
      <c r="H38" s="103"/>
      <c r="I38" s="102">
        <v>1500</v>
      </c>
    </row>
    <row r="39" spans="1:10" ht="16.5" thickBot="1" x14ac:dyDescent="0.3">
      <c r="A39" s="75"/>
      <c r="B39" s="75" t="s">
        <v>68</v>
      </c>
      <c r="C39" s="107">
        <f>1000+1500</f>
        <v>2500</v>
      </c>
      <c r="D39" s="87"/>
      <c r="E39" s="107">
        <v>900</v>
      </c>
      <c r="F39" s="83"/>
      <c r="G39" s="87">
        <v>1300</v>
      </c>
      <c r="H39" s="73"/>
      <c r="I39" s="87">
        <v>3000</v>
      </c>
    </row>
    <row r="40" spans="1:10" ht="16.5" thickBot="1" x14ac:dyDescent="0.3">
      <c r="A40" s="75" t="s">
        <v>69</v>
      </c>
      <c r="B40" s="75"/>
      <c r="C40" s="88">
        <f>ROUND(SUM(C18:C39),5)-C19-C35</f>
        <v>87350</v>
      </c>
      <c r="D40" s="88"/>
      <c r="E40" s="88">
        <f>ROUND(SUM(E18:E39),5)-E19-E35-E30</f>
        <v>57719.510000000009</v>
      </c>
      <c r="F40" s="85"/>
      <c r="G40" s="88">
        <f>ROUND(SUM(G18:G39),5)-G19-G35-G30</f>
        <v>63722.1</v>
      </c>
      <c r="H40" s="86"/>
      <c r="I40" s="88">
        <f>ROUND(SUM(I18:I39),5)-I19-I35-I30</f>
        <v>82500</v>
      </c>
    </row>
    <row r="41" spans="1:10" ht="16.5" thickBot="1" x14ac:dyDescent="0.3">
      <c r="A41" s="75"/>
      <c r="B41" s="75"/>
      <c r="C41" s="89">
        <f>ROUND(C17-C40,5)</f>
        <v>-28350</v>
      </c>
      <c r="D41" s="89"/>
      <c r="E41" s="89">
        <f>ROUND(E17-E40,5)</f>
        <v>9906.2199999999993</v>
      </c>
      <c r="F41" s="90"/>
      <c r="G41" s="89">
        <f>ROUND(G17-G40,5)</f>
        <v>-2776.14</v>
      </c>
      <c r="H41" s="90"/>
      <c r="I41" s="89">
        <f>ROUND(I17-I40,5)</f>
        <v>-19750</v>
      </c>
      <c r="J41" s="91"/>
    </row>
    <row r="42" spans="1:10" ht="16.5" thickTop="1" x14ac:dyDescent="0.25"/>
    <row r="43" spans="1:10" x14ac:dyDescent="0.25">
      <c r="C43" s="72"/>
      <c r="D43" s="72"/>
      <c r="E43" s="71" t="s">
        <v>93</v>
      </c>
      <c r="F43" s="71"/>
      <c r="G43" s="71"/>
      <c r="H43" s="71"/>
      <c r="I43" s="72"/>
      <c r="J43" s="92"/>
    </row>
    <row r="44" spans="1:10" x14ac:dyDescent="0.25">
      <c r="B44" s="1" t="s">
        <v>208</v>
      </c>
      <c r="C44" s="73">
        <v>66943.199999999997</v>
      </c>
      <c r="D44" s="73"/>
      <c r="E44" s="3" t="s">
        <v>207</v>
      </c>
      <c r="F44" s="3"/>
      <c r="G44" s="3"/>
      <c r="H44" s="3"/>
      <c r="I44" s="73">
        <f>'FINAL 17-18'!B97</f>
        <v>59556.98000000001</v>
      </c>
    </row>
    <row r="45" spans="1:10" x14ac:dyDescent="0.25">
      <c r="B45" s="1" t="s">
        <v>209</v>
      </c>
      <c r="C45" s="73">
        <f>C41</f>
        <v>-28350</v>
      </c>
      <c r="D45" s="73"/>
      <c r="E45" s="3" t="s">
        <v>95</v>
      </c>
      <c r="F45" s="3"/>
      <c r="G45" s="3"/>
      <c r="H45" s="3"/>
      <c r="I45" s="73">
        <f>E41</f>
        <v>9906.2199999999993</v>
      </c>
    </row>
    <row r="46" spans="1:10" x14ac:dyDescent="0.25">
      <c r="B46" s="1" t="s">
        <v>210</v>
      </c>
      <c r="C46" s="73">
        <f>C44+C45</f>
        <v>38593.199999999997</v>
      </c>
      <c r="D46" s="73"/>
      <c r="E46" s="74" t="s">
        <v>225</v>
      </c>
      <c r="F46" s="3"/>
      <c r="G46" s="3"/>
      <c r="H46" s="3"/>
      <c r="I46" s="73">
        <v>69463.199999999997</v>
      </c>
    </row>
    <row r="47" spans="1:10" x14ac:dyDescent="0.25">
      <c r="C47" s="63">
        <f>C44+C45-C46</f>
        <v>0</v>
      </c>
      <c r="D47" s="63"/>
      <c r="F47" s="3"/>
      <c r="G47" s="3"/>
      <c r="H47" s="3"/>
      <c r="I47" s="63">
        <f>I44+I45-I46</f>
        <v>0</v>
      </c>
    </row>
    <row r="48" spans="1:10" x14ac:dyDescent="0.25">
      <c r="E48" s="1" t="s">
        <v>206</v>
      </c>
      <c r="I48" s="101">
        <f>I46-2520</f>
        <v>66943.199999999997</v>
      </c>
    </row>
  </sheetData>
  <mergeCells count="1">
    <mergeCell ref="C2:C3"/>
  </mergeCells>
  <pageMargins left="0.25" right="0.25" top="0.75" bottom="0.75" header="0.3" footer="0.3"/>
  <pageSetup scale="62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4"/>
  <sheetViews>
    <sheetView topLeftCell="A21" workbookViewId="0">
      <selection activeCell="G33" sqref="G33"/>
    </sheetView>
  </sheetViews>
  <sheetFormatPr defaultColWidth="8.85546875" defaultRowHeight="15.75" x14ac:dyDescent="0.25"/>
  <cols>
    <col min="1" max="1" width="3.140625" style="1" customWidth="1"/>
    <col min="2" max="2" width="41.140625" style="1" bestFit="1" customWidth="1"/>
    <col min="3" max="3" width="12.5703125" style="1" customWidth="1"/>
    <col min="4" max="4" width="3.140625" style="1" customWidth="1"/>
    <col min="5" max="5" width="12.5703125" style="1" customWidth="1"/>
    <col min="6" max="6" width="3.140625" style="1" customWidth="1"/>
    <col min="7" max="7" width="13.42578125" style="1" bestFit="1" customWidth="1"/>
    <col min="8" max="10" width="8.85546875" style="1"/>
    <col min="11" max="11" width="12.85546875" style="1" bestFit="1" customWidth="1"/>
    <col min="12" max="16384" width="8.85546875" style="1"/>
  </cols>
  <sheetData>
    <row r="1" spans="1:7" ht="21.95" customHeight="1" x14ac:dyDescent="0.25">
      <c r="A1" s="75" t="s">
        <v>226</v>
      </c>
      <c r="B1" s="75"/>
      <c r="C1" s="76"/>
      <c r="D1" s="76"/>
      <c r="E1" s="77"/>
      <c r="F1" s="78"/>
      <c r="G1" s="76"/>
    </row>
    <row r="2" spans="1:7" ht="16.5" thickBot="1" x14ac:dyDescent="0.3">
      <c r="A2" s="75"/>
      <c r="B2" s="75"/>
      <c r="C2" s="76"/>
      <c r="D2" s="76"/>
      <c r="E2" s="77"/>
      <c r="F2" s="78"/>
      <c r="G2" s="76"/>
    </row>
    <row r="3" spans="1:7" ht="36.950000000000003" customHeight="1" thickTop="1" thickBot="1" x14ac:dyDescent="0.3">
      <c r="A3" s="79"/>
      <c r="B3" s="79"/>
      <c r="C3" s="80" t="s">
        <v>129</v>
      </c>
      <c r="D3" s="93"/>
      <c r="E3" s="80" t="s">
        <v>0</v>
      </c>
      <c r="F3" s="94"/>
      <c r="G3" s="80" t="s">
        <v>156</v>
      </c>
    </row>
    <row r="4" spans="1:7" ht="16.5" thickTop="1" x14ac:dyDescent="0.25">
      <c r="A4" s="75" t="s">
        <v>4</v>
      </c>
      <c r="B4" s="75"/>
      <c r="C4" s="81"/>
      <c r="D4" s="82"/>
      <c r="E4" s="81"/>
      <c r="G4" s="81"/>
    </row>
    <row r="5" spans="1:7" x14ac:dyDescent="0.25">
      <c r="A5" s="75"/>
      <c r="B5" s="75" t="s">
        <v>5</v>
      </c>
      <c r="C5" s="83">
        <v>11970.78</v>
      </c>
      <c r="D5" s="83"/>
      <c r="E5" s="83">
        <v>9504.2099999999991</v>
      </c>
      <c r="F5" s="73"/>
      <c r="G5" s="83">
        <v>10000</v>
      </c>
    </row>
    <row r="6" spans="1:7" x14ac:dyDescent="0.25">
      <c r="A6" s="75"/>
      <c r="B6" s="75" t="s">
        <v>10</v>
      </c>
      <c r="C6" s="83">
        <v>33.51</v>
      </c>
      <c r="D6" s="83"/>
      <c r="E6" s="83">
        <v>32.99</v>
      </c>
      <c r="F6" s="73"/>
      <c r="G6" s="83">
        <v>0</v>
      </c>
    </row>
    <row r="7" spans="1:7" x14ac:dyDescent="0.25">
      <c r="A7" s="75"/>
      <c r="B7" s="75" t="s">
        <v>11</v>
      </c>
      <c r="C7" s="83">
        <v>18806.87</v>
      </c>
      <c r="D7" s="83"/>
      <c r="E7" s="83">
        <v>18326.689999999999</v>
      </c>
      <c r="F7" s="73"/>
      <c r="G7" s="83">
        <v>20000</v>
      </c>
    </row>
    <row r="8" spans="1:7" x14ac:dyDescent="0.25">
      <c r="A8" s="75"/>
      <c r="B8" s="75" t="s">
        <v>15</v>
      </c>
      <c r="C8" s="83">
        <v>5368.5</v>
      </c>
      <c r="D8" s="83"/>
      <c r="E8" s="83">
        <v>6278.75</v>
      </c>
      <c r="F8" s="73"/>
      <c r="G8" s="83">
        <v>5000</v>
      </c>
    </row>
    <row r="9" spans="1:7" x14ac:dyDescent="0.25">
      <c r="A9" s="75"/>
      <c r="B9" s="75" t="s">
        <v>16</v>
      </c>
      <c r="C9" s="83">
        <v>550</v>
      </c>
      <c r="D9" s="83"/>
      <c r="E9" s="83">
        <v>500</v>
      </c>
      <c r="F9" s="73"/>
      <c r="G9" s="83">
        <v>0</v>
      </c>
    </row>
    <row r="10" spans="1:7" x14ac:dyDescent="0.25">
      <c r="A10" s="75"/>
      <c r="B10" s="75" t="s">
        <v>17</v>
      </c>
      <c r="C10" s="83">
        <v>26667.89</v>
      </c>
      <c r="D10" s="83"/>
      <c r="E10" s="83">
        <v>15987.38</v>
      </c>
      <c r="F10" s="73"/>
      <c r="G10" s="83">
        <v>20000</v>
      </c>
    </row>
    <row r="11" spans="1:7" x14ac:dyDescent="0.25">
      <c r="A11" s="75"/>
      <c r="B11" s="75" t="s">
        <v>44</v>
      </c>
      <c r="C11" s="83">
        <v>3591.11</v>
      </c>
      <c r="D11" s="83"/>
      <c r="E11" s="83">
        <v>1910.56</v>
      </c>
      <c r="F11" s="73"/>
      <c r="G11" s="83">
        <v>1500</v>
      </c>
    </row>
    <row r="12" spans="1:7" x14ac:dyDescent="0.25">
      <c r="A12" s="75"/>
      <c r="B12" s="75" t="s">
        <v>46</v>
      </c>
      <c r="C12" s="83">
        <v>897</v>
      </c>
      <c r="D12" s="83"/>
      <c r="E12" s="83">
        <v>1322</v>
      </c>
      <c r="F12" s="73"/>
      <c r="G12" s="83">
        <v>1250</v>
      </c>
    </row>
    <row r="13" spans="1:7" x14ac:dyDescent="0.25">
      <c r="A13" s="75"/>
      <c r="B13" s="75" t="s">
        <v>48</v>
      </c>
      <c r="C13" s="83">
        <v>0</v>
      </c>
      <c r="D13" s="83"/>
      <c r="E13" s="83">
        <v>0</v>
      </c>
      <c r="F13" s="73"/>
      <c r="G13" s="83">
        <v>0</v>
      </c>
    </row>
    <row r="14" spans="1:7" x14ac:dyDescent="0.25">
      <c r="A14" s="75"/>
      <c r="B14" s="75" t="s">
        <v>49</v>
      </c>
      <c r="C14" s="83">
        <v>1022.42</v>
      </c>
      <c r="D14" s="83"/>
      <c r="E14" s="83">
        <v>7019.38</v>
      </c>
      <c r="F14" s="73"/>
      <c r="G14" s="83">
        <v>5000</v>
      </c>
    </row>
    <row r="15" spans="1:7" ht="16.5" thickBot="1" x14ac:dyDescent="0.3">
      <c r="A15" s="75"/>
      <c r="B15" s="75" t="s">
        <v>51</v>
      </c>
      <c r="C15" s="84">
        <v>0</v>
      </c>
      <c r="D15" s="83"/>
      <c r="E15" s="84">
        <v>64</v>
      </c>
      <c r="F15" s="73"/>
      <c r="G15" s="84">
        <v>0</v>
      </c>
    </row>
    <row r="16" spans="1:7" x14ac:dyDescent="0.25">
      <c r="A16" s="75" t="s">
        <v>53</v>
      </c>
      <c r="B16" s="75"/>
      <c r="C16" s="85">
        <f>ROUND(SUM(C4:C15),5)</f>
        <v>68908.08</v>
      </c>
      <c r="D16" s="85"/>
      <c r="E16" s="85">
        <f>ROUND(SUM(E4:E15),5)</f>
        <v>60945.96</v>
      </c>
      <c r="F16" s="86"/>
      <c r="G16" s="85">
        <f>ROUND(SUM(G4:G15),5)</f>
        <v>62750</v>
      </c>
    </row>
    <row r="17" spans="1:7" x14ac:dyDescent="0.25">
      <c r="A17" s="75" t="s">
        <v>6</v>
      </c>
      <c r="B17" s="75"/>
      <c r="C17" s="83"/>
      <c r="D17" s="83"/>
      <c r="E17" s="83"/>
      <c r="F17" s="73"/>
      <c r="G17" s="83"/>
    </row>
    <row r="18" spans="1:7" x14ac:dyDescent="0.25">
      <c r="A18" s="75"/>
      <c r="B18" s="75" t="s">
        <v>54</v>
      </c>
      <c r="C18" s="83">
        <v>3075.34</v>
      </c>
      <c r="D18" s="83"/>
      <c r="E18" s="83">
        <v>2967.09</v>
      </c>
      <c r="F18" s="73"/>
      <c r="G18" s="83">
        <v>3300</v>
      </c>
    </row>
    <row r="19" spans="1:7" x14ac:dyDescent="0.25">
      <c r="A19" s="75"/>
      <c r="B19" s="75" t="s">
        <v>55</v>
      </c>
      <c r="C19" s="83">
        <v>40452.01</v>
      </c>
      <c r="D19" s="83"/>
      <c r="E19" s="83">
        <v>35426.639999999999</v>
      </c>
      <c r="F19" s="73"/>
      <c r="G19" s="97">
        <v>60000</v>
      </c>
    </row>
    <row r="20" spans="1:7" x14ac:dyDescent="0.25">
      <c r="A20" s="75"/>
      <c r="B20" s="75" t="s">
        <v>56</v>
      </c>
      <c r="C20" s="83">
        <v>1015.59</v>
      </c>
      <c r="D20" s="83"/>
      <c r="E20" s="83">
        <v>564.5</v>
      </c>
      <c r="F20" s="73"/>
      <c r="G20" s="83">
        <v>1000</v>
      </c>
    </row>
    <row r="21" spans="1:7" x14ac:dyDescent="0.25">
      <c r="A21" s="75"/>
      <c r="B21" s="75" t="s">
        <v>57</v>
      </c>
      <c r="C21" s="83">
        <v>2672.94</v>
      </c>
      <c r="D21" s="83"/>
      <c r="E21" s="83">
        <v>2700</v>
      </c>
      <c r="F21" s="73"/>
      <c r="G21" s="83">
        <v>2600</v>
      </c>
    </row>
    <row r="22" spans="1:7" x14ac:dyDescent="0.25">
      <c r="A22" s="75"/>
      <c r="B22" s="75" t="s">
        <v>58</v>
      </c>
      <c r="C22" s="83">
        <v>5000</v>
      </c>
      <c r="D22" s="83"/>
      <c r="E22" s="83">
        <v>5000</v>
      </c>
      <c r="F22" s="73"/>
      <c r="G22" s="83">
        <v>5000</v>
      </c>
    </row>
    <row r="23" spans="1:7" x14ac:dyDescent="0.25">
      <c r="A23" s="75"/>
      <c r="B23" s="75" t="s">
        <v>59</v>
      </c>
      <c r="C23" s="83">
        <v>635.27</v>
      </c>
      <c r="D23" s="83"/>
      <c r="E23" s="83">
        <v>-651.4</v>
      </c>
      <c r="F23" s="73"/>
      <c r="G23" s="83">
        <v>800</v>
      </c>
    </row>
    <row r="24" spans="1:7" x14ac:dyDescent="0.25">
      <c r="A24" s="75"/>
      <c r="B24" s="75" t="s">
        <v>62</v>
      </c>
      <c r="C24" s="83">
        <v>0</v>
      </c>
      <c r="D24" s="83"/>
      <c r="E24" s="83">
        <v>10000</v>
      </c>
      <c r="F24" s="73"/>
      <c r="G24" s="83">
        <v>0</v>
      </c>
    </row>
    <row r="25" spans="1:7" x14ac:dyDescent="0.25">
      <c r="A25" s="75"/>
      <c r="B25" s="75" t="s">
        <v>63</v>
      </c>
      <c r="C25" s="83">
        <v>6503.36</v>
      </c>
      <c r="D25" s="83"/>
      <c r="E25" s="83">
        <v>6415.27</v>
      </c>
      <c r="F25" s="73"/>
      <c r="G25" s="83">
        <v>6800</v>
      </c>
    </row>
    <row r="26" spans="1:7" ht="16.5" thickBot="1" x14ac:dyDescent="0.3">
      <c r="A26" s="75"/>
      <c r="B26" s="75" t="s">
        <v>68</v>
      </c>
      <c r="C26" s="87">
        <v>900</v>
      </c>
      <c r="D26" s="83"/>
      <c r="E26" s="87">
        <v>1300</v>
      </c>
      <c r="F26" s="73"/>
      <c r="G26" s="87">
        <v>3000</v>
      </c>
    </row>
    <row r="27" spans="1:7" ht="16.5" thickBot="1" x14ac:dyDescent="0.3">
      <c r="A27" s="75" t="s">
        <v>69</v>
      </c>
      <c r="B27" s="75"/>
      <c r="C27" s="88">
        <f>ROUND(SUM(C17:C26),5)</f>
        <v>60254.51</v>
      </c>
      <c r="D27" s="85"/>
      <c r="E27" s="88">
        <f>ROUND(SUM(E17:E26),5)</f>
        <v>63722.1</v>
      </c>
      <c r="F27" s="86"/>
      <c r="G27" s="88">
        <f>ROUND(SUM(G17:G26),5)</f>
        <v>82500</v>
      </c>
    </row>
    <row r="28" spans="1:7" ht="16.5" thickBot="1" x14ac:dyDescent="0.3">
      <c r="A28" s="75"/>
      <c r="B28" s="75"/>
      <c r="C28" s="89">
        <f>ROUND(C16-C27,5)</f>
        <v>8653.57</v>
      </c>
      <c r="D28" s="90"/>
      <c r="E28" s="89">
        <f>ROUND(E16-E27,5)</f>
        <v>-2776.14</v>
      </c>
      <c r="F28" s="90"/>
      <c r="G28" s="89">
        <f>ROUND(G16-G27,5)</f>
        <v>-19750</v>
      </c>
    </row>
    <row r="29" spans="1:7" ht="16.5" thickTop="1" x14ac:dyDescent="0.25"/>
    <row r="30" spans="1:7" x14ac:dyDescent="0.25">
      <c r="C30" s="71" t="s">
        <v>93</v>
      </c>
      <c r="D30" s="71"/>
      <c r="E30" s="71"/>
      <c r="F30" s="71"/>
      <c r="G30" s="72"/>
    </row>
    <row r="31" spans="1:7" x14ac:dyDescent="0.25">
      <c r="C31" s="3" t="s">
        <v>207</v>
      </c>
      <c r="D31" s="3"/>
      <c r="E31" s="3"/>
      <c r="F31" s="3"/>
      <c r="G31" s="73">
        <f>'FINAL 17-18'!B97</f>
        <v>59556.98000000001</v>
      </c>
    </row>
    <row r="32" spans="1:7" x14ac:dyDescent="0.25">
      <c r="C32" s="3" t="s">
        <v>95</v>
      </c>
      <c r="D32" s="3"/>
      <c r="E32" s="3"/>
      <c r="F32" s="3"/>
      <c r="G32" s="73">
        <f>C28</f>
        <v>8653.57</v>
      </c>
    </row>
    <row r="33" spans="3:7" x14ac:dyDescent="0.25">
      <c r="C33" s="74" t="s">
        <v>227</v>
      </c>
      <c r="D33" s="3"/>
      <c r="E33" s="3"/>
      <c r="F33" s="3"/>
      <c r="G33" s="73">
        <v>68210.55</v>
      </c>
    </row>
    <row r="34" spans="3:7" x14ac:dyDescent="0.25">
      <c r="D34" s="3"/>
      <c r="E34" s="3"/>
      <c r="F34" s="3"/>
      <c r="G34" s="31">
        <f>G31+G32-G33</f>
        <v>0</v>
      </c>
    </row>
  </sheetData>
  <pageMargins left="0.25" right="0.25" top="0.75" bottom="0.75" header="0.3" footer="0.3"/>
  <pageSetup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4"/>
  <sheetViews>
    <sheetView topLeftCell="A16" workbookViewId="0">
      <selection activeCell="G17" sqref="G17"/>
    </sheetView>
  </sheetViews>
  <sheetFormatPr defaultColWidth="8.85546875" defaultRowHeight="15.75" x14ac:dyDescent="0.25"/>
  <cols>
    <col min="1" max="1" width="3.140625" style="1" customWidth="1"/>
    <col min="2" max="2" width="41.140625" style="1" bestFit="1" customWidth="1"/>
    <col min="3" max="3" width="12.5703125" style="1" customWidth="1"/>
    <col min="4" max="4" width="3.140625" style="1" customWidth="1"/>
    <col min="5" max="5" width="12.5703125" style="1" customWidth="1"/>
    <col min="6" max="6" width="3.140625" style="1" customWidth="1"/>
    <col min="7" max="7" width="13.42578125" style="1" bestFit="1" customWidth="1"/>
    <col min="8" max="8" width="56.85546875" style="1" customWidth="1"/>
    <col min="9" max="11" width="8.85546875" style="1"/>
    <col min="12" max="12" width="12.85546875" style="1" bestFit="1" customWidth="1"/>
    <col min="13" max="16384" width="8.85546875" style="1"/>
  </cols>
  <sheetData>
    <row r="1" spans="1:8" ht="21.95" customHeight="1" x14ac:dyDescent="0.25">
      <c r="A1" s="75" t="s">
        <v>191</v>
      </c>
      <c r="B1" s="75"/>
      <c r="C1" s="76"/>
      <c r="D1" s="76"/>
      <c r="E1" s="77"/>
      <c r="F1" s="78"/>
      <c r="G1" s="76"/>
    </row>
    <row r="2" spans="1:8" ht="16.5" thickBot="1" x14ac:dyDescent="0.3">
      <c r="A2" s="75"/>
      <c r="B2" s="75"/>
      <c r="C2" s="76"/>
      <c r="D2" s="76"/>
      <c r="E2" s="77"/>
      <c r="F2" s="78"/>
      <c r="G2" s="76"/>
    </row>
    <row r="3" spans="1:8" ht="36.950000000000003" customHeight="1" thickTop="1" thickBot="1" x14ac:dyDescent="0.3">
      <c r="A3" s="79"/>
      <c r="B3" s="79"/>
      <c r="C3" s="80" t="s">
        <v>129</v>
      </c>
      <c r="D3" s="93"/>
      <c r="E3" s="80" t="s">
        <v>0</v>
      </c>
      <c r="F3" s="94"/>
      <c r="G3" s="80" t="s">
        <v>156</v>
      </c>
      <c r="H3" s="80" t="s">
        <v>160</v>
      </c>
    </row>
    <row r="4" spans="1:8" ht="16.5" thickTop="1" x14ac:dyDescent="0.25">
      <c r="A4" s="75" t="s">
        <v>4</v>
      </c>
      <c r="B4" s="75"/>
      <c r="C4" s="81"/>
      <c r="D4" s="82"/>
      <c r="E4" s="81"/>
      <c r="G4" s="81"/>
    </row>
    <row r="5" spans="1:8" x14ac:dyDescent="0.25">
      <c r="A5" s="75"/>
      <c r="B5" s="75" t="s">
        <v>5</v>
      </c>
      <c r="C5" s="83">
        <v>11970.78</v>
      </c>
      <c r="D5" s="83"/>
      <c r="E5" s="83">
        <v>9504.2099999999991</v>
      </c>
      <c r="F5" s="73"/>
      <c r="G5" s="83">
        <v>10000</v>
      </c>
      <c r="H5" s="1" t="s">
        <v>192</v>
      </c>
    </row>
    <row r="6" spans="1:8" x14ac:dyDescent="0.25">
      <c r="A6" s="75"/>
      <c r="B6" s="75" t="s">
        <v>10</v>
      </c>
      <c r="C6" s="83">
        <v>24.13</v>
      </c>
      <c r="D6" s="83"/>
      <c r="E6" s="83">
        <v>32.99</v>
      </c>
      <c r="F6" s="73"/>
      <c r="G6" s="83">
        <v>0</v>
      </c>
    </row>
    <row r="7" spans="1:8" x14ac:dyDescent="0.25">
      <c r="A7" s="75"/>
      <c r="B7" s="75" t="s">
        <v>11</v>
      </c>
      <c r="C7" s="83">
        <v>18721.87</v>
      </c>
      <c r="D7" s="83"/>
      <c r="E7" s="83">
        <v>18326.689999999999</v>
      </c>
      <c r="F7" s="73"/>
      <c r="G7" s="83">
        <v>20000</v>
      </c>
      <c r="H7" s="78" t="s">
        <v>193</v>
      </c>
    </row>
    <row r="8" spans="1:8" x14ac:dyDescent="0.25">
      <c r="A8" s="75"/>
      <c r="B8" s="75" t="s">
        <v>15</v>
      </c>
      <c r="C8" s="83">
        <v>2897.5</v>
      </c>
      <c r="D8" s="83"/>
      <c r="E8" s="83">
        <v>6278.75</v>
      </c>
      <c r="F8" s="73"/>
      <c r="G8" s="83">
        <v>5000</v>
      </c>
      <c r="H8" s="1" t="s">
        <v>173</v>
      </c>
    </row>
    <row r="9" spans="1:8" x14ac:dyDescent="0.25">
      <c r="A9" s="75"/>
      <c r="B9" s="75" t="s">
        <v>16</v>
      </c>
      <c r="C9" s="83">
        <v>500</v>
      </c>
      <c r="D9" s="83"/>
      <c r="E9" s="83">
        <v>500</v>
      </c>
      <c r="F9" s="73"/>
      <c r="G9" s="83">
        <v>0</v>
      </c>
    </row>
    <row r="10" spans="1:8" ht="31.5" x14ac:dyDescent="0.25">
      <c r="A10" s="75"/>
      <c r="B10" s="75" t="s">
        <v>17</v>
      </c>
      <c r="C10" s="83">
        <v>21266.97</v>
      </c>
      <c r="D10" s="83"/>
      <c r="E10" s="83">
        <v>15987.38</v>
      </c>
      <c r="F10" s="73"/>
      <c r="G10" s="83">
        <v>20000</v>
      </c>
      <c r="H10" s="78" t="s">
        <v>194</v>
      </c>
    </row>
    <row r="11" spans="1:8" x14ac:dyDescent="0.25">
      <c r="A11" s="75"/>
      <c r="B11" s="75" t="s">
        <v>44</v>
      </c>
      <c r="C11" s="83">
        <v>3591.11</v>
      </c>
      <c r="D11" s="83"/>
      <c r="E11" s="83">
        <v>1910.56</v>
      </c>
      <c r="F11" s="73"/>
      <c r="G11" s="83">
        <v>1500</v>
      </c>
      <c r="H11" s="1" t="s">
        <v>195</v>
      </c>
    </row>
    <row r="12" spans="1:8" x14ac:dyDescent="0.25">
      <c r="A12" s="75"/>
      <c r="B12" s="75" t="s">
        <v>46</v>
      </c>
      <c r="C12" s="83">
        <v>897</v>
      </c>
      <c r="D12" s="83"/>
      <c r="E12" s="83">
        <v>1322</v>
      </c>
      <c r="F12" s="73"/>
      <c r="G12" s="83">
        <v>1250</v>
      </c>
      <c r="H12" s="1" t="s">
        <v>196</v>
      </c>
    </row>
    <row r="13" spans="1:8" x14ac:dyDescent="0.25">
      <c r="A13" s="75"/>
      <c r="B13" s="75" t="s">
        <v>48</v>
      </c>
      <c r="C13" s="83">
        <v>0</v>
      </c>
      <c r="D13" s="83"/>
      <c r="E13" s="83">
        <v>0</v>
      </c>
      <c r="F13" s="73"/>
      <c r="G13" s="83">
        <v>0</v>
      </c>
    </row>
    <row r="14" spans="1:8" ht="47.25" x14ac:dyDescent="0.25">
      <c r="A14" s="75"/>
      <c r="B14" s="75" t="s">
        <v>49</v>
      </c>
      <c r="C14" s="83">
        <f>-2523.86+248.72+355.88</f>
        <v>-1919.2600000000002</v>
      </c>
      <c r="D14" s="83"/>
      <c r="E14" s="83">
        <v>7019.38</v>
      </c>
      <c r="F14" s="73"/>
      <c r="G14" s="83">
        <v>5000</v>
      </c>
      <c r="H14" s="78" t="s">
        <v>201</v>
      </c>
    </row>
    <row r="15" spans="1:8" ht="16.5" thickBot="1" x14ac:dyDescent="0.3">
      <c r="A15" s="75"/>
      <c r="B15" s="75" t="s">
        <v>51</v>
      </c>
      <c r="C15" s="84">
        <v>0</v>
      </c>
      <c r="D15" s="83"/>
      <c r="E15" s="84">
        <v>64</v>
      </c>
      <c r="F15" s="73"/>
      <c r="G15" s="84">
        <v>0</v>
      </c>
    </row>
    <row r="16" spans="1:8" x14ac:dyDescent="0.25">
      <c r="A16" s="75" t="s">
        <v>53</v>
      </c>
      <c r="B16" s="75"/>
      <c r="C16" s="85">
        <f>ROUND(SUM(C4:C15),5)</f>
        <v>57950.1</v>
      </c>
      <c r="D16" s="85"/>
      <c r="E16" s="85">
        <f>ROUND(SUM(E4:E15),5)</f>
        <v>60945.96</v>
      </c>
      <c r="F16" s="86"/>
      <c r="G16" s="85">
        <f>ROUND(SUM(G4:G15),5)</f>
        <v>62750</v>
      </c>
    </row>
    <row r="17" spans="1:8" x14ac:dyDescent="0.25">
      <c r="A17" s="75" t="s">
        <v>6</v>
      </c>
      <c r="B17" s="75"/>
      <c r="C17" s="83"/>
      <c r="D17" s="83"/>
      <c r="E17" s="83"/>
      <c r="F17" s="73"/>
      <c r="G17" s="83"/>
    </row>
    <row r="18" spans="1:8" x14ac:dyDescent="0.25">
      <c r="A18" s="75"/>
      <c r="B18" s="75" t="s">
        <v>54</v>
      </c>
      <c r="C18" s="83">
        <v>2802.97</v>
      </c>
      <c r="D18" s="83"/>
      <c r="E18" s="83">
        <v>2967.09</v>
      </c>
      <c r="F18" s="73"/>
      <c r="G18" s="83">
        <v>3300</v>
      </c>
    </row>
    <row r="19" spans="1:8" x14ac:dyDescent="0.25">
      <c r="A19" s="75"/>
      <c r="B19" s="75" t="s">
        <v>55</v>
      </c>
      <c r="C19" s="83">
        <v>17308</v>
      </c>
      <c r="D19" s="83"/>
      <c r="E19" s="83">
        <v>35426.639999999999</v>
      </c>
      <c r="F19" s="73"/>
      <c r="G19" s="97">
        <v>60000</v>
      </c>
      <c r="H19" s="78" t="s">
        <v>197</v>
      </c>
    </row>
    <row r="20" spans="1:8" x14ac:dyDescent="0.25">
      <c r="A20" s="75"/>
      <c r="B20" s="75" t="s">
        <v>56</v>
      </c>
      <c r="C20" s="83">
        <v>1015.59</v>
      </c>
      <c r="D20" s="83"/>
      <c r="E20" s="83">
        <v>564.5</v>
      </c>
      <c r="F20" s="73"/>
      <c r="G20" s="83">
        <v>1000</v>
      </c>
      <c r="H20" s="1" t="s">
        <v>198</v>
      </c>
    </row>
    <row r="21" spans="1:8" x14ac:dyDescent="0.25">
      <c r="A21" s="75"/>
      <c r="B21" s="75" t="s">
        <v>57</v>
      </c>
      <c r="C21" s="83">
        <v>0</v>
      </c>
      <c r="D21" s="83"/>
      <c r="E21" s="83">
        <v>2700</v>
      </c>
      <c r="F21" s="73"/>
      <c r="G21" s="83">
        <v>2600</v>
      </c>
      <c r="H21" s="1" t="s">
        <v>199</v>
      </c>
    </row>
    <row r="22" spans="1:8" x14ac:dyDescent="0.25">
      <c r="A22" s="75"/>
      <c r="B22" s="75" t="s">
        <v>58</v>
      </c>
      <c r="C22" s="83">
        <v>5000</v>
      </c>
      <c r="D22" s="83"/>
      <c r="E22" s="83">
        <v>5000</v>
      </c>
      <c r="F22" s="73"/>
      <c r="G22" s="83">
        <v>5000</v>
      </c>
    </row>
    <row r="23" spans="1:8" x14ac:dyDescent="0.25">
      <c r="A23" s="75"/>
      <c r="B23" s="75" t="s">
        <v>59</v>
      </c>
      <c r="C23" s="83">
        <v>309.01</v>
      </c>
      <c r="D23" s="83"/>
      <c r="E23" s="83">
        <v>-651.4</v>
      </c>
      <c r="F23" s="73"/>
      <c r="G23" s="83">
        <v>800</v>
      </c>
    </row>
    <row r="24" spans="1:8" x14ac:dyDescent="0.25">
      <c r="A24" s="75"/>
      <c r="B24" s="75" t="s">
        <v>62</v>
      </c>
      <c r="C24" s="83">
        <v>0</v>
      </c>
      <c r="D24" s="83"/>
      <c r="E24" s="83">
        <v>10000</v>
      </c>
      <c r="F24" s="73"/>
      <c r="G24" s="83">
        <v>0</v>
      </c>
      <c r="H24" s="1" t="s">
        <v>200</v>
      </c>
    </row>
    <row r="25" spans="1:8" x14ac:dyDescent="0.25">
      <c r="A25" s="75"/>
      <c r="B25" s="75" t="s">
        <v>63</v>
      </c>
      <c r="C25" s="83">
        <v>4333.01</v>
      </c>
      <c r="D25" s="83"/>
      <c r="E25" s="83">
        <v>6415.27</v>
      </c>
      <c r="F25" s="73"/>
      <c r="G25" s="83">
        <v>6800</v>
      </c>
      <c r="H25" s="1" t="s">
        <v>190</v>
      </c>
    </row>
    <row r="26" spans="1:8" ht="16.5" thickBot="1" x14ac:dyDescent="0.3">
      <c r="A26" s="75"/>
      <c r="B26" s="75" t="s">
        <v>68</v>
      </c>
      <c r="C26" s="87">
        <v>400</v>
      </c>
      <c r="D26" s="83"/>
      <c r="E26" s="87">
        <v>1300</v>
      </c>
      <c r="F26" s="73"/>
      <c r="G26" s="87">
        <v>3000</v>
      </c>
      <c r="H26" s="1" t="s">
        <v>166</v>
      </c>
    </row>
    <row r="27" spans="1:8" ht="16.5" thickBot="1" x14ac:dyDescent="0.3">
      <c r="A27" s="75" t="s">
        <v>69</v>
      </c>
      <c r="B27" s="75"/>
      <c r="C27" s="88">
        <f>ROUND(SUM(C17:C26),5)</f>
        <v>31168.58</v>
      </c>
      <c r="D27" s="85"/>
      <c r="E27" s="88">
        <f>ROUND(SUM(E17:E26),5)</f>
        <v>63722.1</v>
      </c>
      <c r="F27" s="86"/>
      <c r="G27" s="88">
        <f>ROUND(SUM(G17:G26),5)</f>
        <v>82500</v>
      </c>
    </row>
    <row r="28" spans="1:8" ht="16.5" thickBot="1" x14ac:dyDescent="0.3">
      <c r="A28" s="75"/>
      <c r="B28" s="75"/>
      <c r="C28" s="89">
        <f>ROUND(C16-C27,5)</f>
        <v>26781.52</v>
      </c>
      <c r="D28" s="90"/>
      <c r="E28" s="89">
        <f>ROUND(E16-E27,5)</f>
        <v>-2776.14</v>
      </c>
      <c r="F28" s="90"/>
      <c r="G28" s="89">
        <f>ROUND(G16-G27,5)</f>
        <v>-19750</v>
      </c>
      <c r="H28" s="91"/>
    </row>
    <row r="29" spans="1:8" ht="16.5" thickTop="1" x14ac:dyDescent="0.25"/>
    <row r="30" spans="1:8" x14ac:dyDescent="0.25">
      <c r="C30" s="71" t="s">
        <v>93</v>
      </c>
      <c r="D30" s="71"/>
      <c r="E30" s="71"/>
      <c r="F30" s="71"/>
      <c r="G30" s="72"/>
      <c r="H30" s="92"/>
    </row>
    <row r="31" spans="1:8" x14ac:dyDescent="0.25">
      <c r="C31" s="3" t="s">
        <v>207</v>
      </c>
      <c r="D31" s="3"/>
      <c r="E31" s="3"/>
      <c r="F31" s="3"/>
      <c r="G31" s="73">
        <f>'FINAL 17-18'!B97</f>
        <v>59556.98000000001</v>
      </c>
    </row>
    <row r="32" spans="1:8" x14ac:dyDescent="0.25">
      <c r="C32" s="3" t="s">
        <v>95</v>
      </c>
      <c r="D32" s="3"/>
      <c r="E32" s="3"/>
      <c r="F32" s="3"/>
      <c r="G32" s="73">
        <f>C28</f>
        <v>26781.52</v>
      </c>
    </row>
    <row r="33" spans="3:7" x14ac:dyDescent="0.25">
      <c r="C33" s="74" t="s">
        <v>189</v>
      </c>
      <c r="D33" s="3"/>
      <c r="E33" s="3"/>
      <c r="F33" s="3"/>
      <c r="G33" s="73">
        <v>86338.5</v>
      </c>
    </row>
    <row r="34" spans="3:7" x14ac:dyDescent="0.25">
      <c r="D34" s="3"/>
      <c r="E34" s="3"/>
      <c r="F34" s="3"/>
      <c r="G34" s="31">
        <f>G31+G32-G33</f>
        <v>0</v>
      </c>
    </row>
  </sheetData>
  <pageMargins left="0.25" right="0.25" top="0.75" bottom="0.75" header="0.3" footer="0.3"/>
  <pageSetup scale="7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"/>
  <sheetViews>
    <sheetView topLeftCell="A28" workbookViewId="0">
      <selection activeCell="H37" sqref="H37"/>
    </sheetView>
  </sheetViews>
  <sheetFormatPr defaultColWidth="8.85546875" defaultRowHeight="15.75" x14ac:dyDescent="0.25"/>
  <cols>
    <col min="1" max="1" width="3.140625" style="1" customWidth="1"/>
    <col min="2" max="2" width="41.140625" style="1" bestFit="1" customWidth="1"/>
    <col min="3" max="3" width="12.5703125" style="1" customWidth="1"/>
    <col min="4" max="4" width="3.140625" style="1" customWidth="1"/>
    <col min="5" max="5" width="12.5703125" style="1" customWidth="1"/>
    <col min="6" max="6" width="3.140625" style="1" customWidth="1"/>
    <col min="7" max="7" width="13.42578125" style="1" bestFit="1" customWidth="1"/>
    <col min="8" max="8" width="55.5703125" style="1" customWidth="1"/>
    <col min="9" max="9" width="11" style="96" bestFit="1" customWidth="1"/>
    <col min="10" max="12" width="8.85546875" style="1"/>
    <col min="13" max="13" width="12.85546875" style="1" bestFit="1" customWidth="1"/>
    <col min="14" max="16384" width="8.85546875" style="1"/>
  </cols>
  <sheetData>
    <row r="1" spans="1:9" ht="21.95" customHeight="1" x14ac:dyDescent="0.25">
      <c r="A1" s="75" t="s">
        <v>180</v>
      </c>
      <c r="B1" s="75"/>
      <c r="C1" s="76"/>
      <c r="D1" s="76"/>
      <c r="E1" s="77"/>
      <c r="F1" s="78"/>
      <c r="G1" s="76"/>
    </row>
    <row r="2" spans="1:9" ht="16.5" thickBot="1" x14ac:dyDescent="0.3">
      <c r="A2" s="75"/>
      <c r="B2" s="75"/>
      <c r="C2" s="76"/>
      <c r="D2" s="76"/>
      <c r="E2" s="77"/>
      <c r="F2" s="78"/>
      <c r="G2" s="76"/>
    </row>
    <row r="3" spans="1:9" ht="36.950000000000003" customHeight="1" thickTop="1" thickBot="1" x14ac:dyDescent="0.3">
      <c r="A3" s="79"/>
      <c r="B3" s="79"/>
      <c r="C3" s="80" t="s">
        <v>129</v>
      </c>
      <c r="D3" s="93"/>
      <c r="E3" s="80" t="s">
        <v>0</v>
      </c>
      <c r="F3" s="94"/>
      <c r="G3" s="80" t="s">
        <v>156</v>
      </c>
      <c r="H3" s="80" t="s">
        <v>160</v>
      </c>
      <c r="I3" s="96" t="s">
        <v>183</v>
      </c>
    </row>
    <row r="4" spans="1:9" ht="16.5" thickTop="1" x14ac:dyDescent="0.25">
      <c r="A4" s="75" t="s">
        <v>4</v>
      </c>
      <c r="B4" s="75"/>
      <c r="C4" s="81"/>
      <c r="D4" s="82"/>
      <c r="E4" s="81"/>
      <c r="G4" s="81"/>
    </row>
    <row r="5" spans="1:9" x14ac:dyDescent="0.25">
      <c r="A5" s="75"/>
      <c r="B5" s="75" t="s">
        <v>5</v>
      </c>
      <c r="C5" s="83">
        <v>11633.18</v>
      </c>
      <c r="D5" s="83"/>
      <c r="E5" s="83">
        <v>9504.2099999999991</v>
      </c>
      <c r="F5" s="73"/>
      <c r="G5" s="83">
        <v>10000</v>
      </c>
      <c r="I5" s="96">
        <v>11633</v>
      </c>
    </row>
    <row r="6" spans="1:9" x14ac:dyDescent="0.25">
      <c r="A6" s="75"/>
      <c r="B6" s="75" t="s">
        <v>10</v>
      </c>
      <c r="C6" s="83">
        <v>21.09</v>
      </c>
      <c r="D6" s="83"/>
      <c r="E6" s="83">
        <v>32.99</v>
      </c>
      <c r="F6" s="73"/>
      <c r="G6" s="83">
        <v>0</v>
      </c>
    </row>
    <row r="7" spans="1:9" x14ac:dyDescent="0.25">
      <c r="A7" s="75"/>
      <c r="B7" s="75" t="s">
        <v>11</v>
      </c>
      <c r="C7" s="83">
        <v>28299.08</v>
      </c>
      <c r="D7" s="83"/>
      <c r="E7" s="83">
        <v>18326.689999999999</v>
      </c>
      <c r="F7" s="73"/>
      <c r="G7" s="83">
        <v>20000</v>
      </c>
      <c r="H7" s="78" t="s">
        <v>184</v>
      </c>
      <c r="I7" s="96">
        <v>20000</v>
      </c>
    </row>
    <row r="8" spans="1:9" x14ac:dyDescent="0.25">
      <c r="A8" s="75"/>
      <c r="B8" s="75" t="s">
        <v>15</v>
      </c>
      <c r="C8" s="83">
        <v>2897.5</v>
      </c>
      <c r="D8" s="83"/>
      <c r="E8" s="83">
        <v>6278.75</v>
      </c>
      <c r="F8" s="73"/>
      <c r="G8" s="83">
        <v>5000</v>
      </c>
      <c r="H8" s="1" t="s">
        <v>173</v>
      </c>
      <c r="I8" s="96">
        <v>5000</v>
      </c>
    </row>
    <row r="9" spans="1:9" x14ac:dyDescent="0.25">
      <c r="A9" s="75"/>
      <c r="B9" s="75" t="s">
        <v>16</v>
      </c>
      <c r="C9" s="83">
        <v>500</v>
      </c>
      <c r="D9" s="83"/>
      <c r="E9" s="83">
        <v>500</v>
      </c>
      <c r="F9" s="73"/>
      <c r="G9" s="83">
        <v>0</v>
      </c>
      <c r="H9" s="1" t="s">
        <v>182</v>
      </c>
    </row>
    <row r="10" spans="1:9" x14ac:dyDescent="0.25">
      <c r="A10" s="75"/>
      <c r="B10" s="75" t="s">
        <v>17</v>
      </c>
      <c r="C10" s="83">
        <v>21759.41</v>
      </c>
      <c r="D10" s="83"/>
      <c r="E10" s="83">
        <v>15987.38</v>
      </c>
      <c r="F10" s="73"/>
      <c r="G10" s="83">
        <v>20000</v>
      </c>
      <c r="H10" s="1" t="s">
        <v>174</v>
      </c>
      <c r="I10" s="96">
        <v>27000</v>
      </c>
    </row>
    <row r="11" spans="1:9" x14ac:dyDescent="0.25">
      <c r="A11" s="75"/>
      <c r="B11" s="75" t="s">
        <v>44</v>
      </c>
      <c r="C11" s="83">
        <v>3591.11</v>
      </c>
      <c r="D11" s="83"/>
      <c r="E11" s="83">
        <v>1910.56</v>
      </c>
      <c r="F11" s="73"/>
      <c r="G11" s="83">
        <v>1500</v>
      </c>
      <c r="I11" s="96">
        <v>3600</v>
      </c>
    </row>
    <row r="12" spans="1:9" x14ac:dyDescent="0.25">
      <c r="A12" s="75"/>
      <c r="B12" s="75" t="s">
        <v>46</v>
      </c>
      <c r="C12" s="83">
        <v>897</v>
      </c>
      <c r="D12" s="83"/>
      <c r="E12" s="83">
        <v>1322</v>
      </c>
      <c r="F12" s="73"/>
      <c r="G12" s="83">
        <v>1250</v>
      </c>
      <c r="I12" s="96">
        <v>900</v>
      </c>
    </row>
    <row r="13" spans="1:9" x14ac:dyDescent="0.25">
      <c r="A13" s="75"/>
      <c r="B13" s="75" t="s">
        <v>48</v>
      </c>
      <c r="C13" s="83">
        <v>0</v>
      </c>
      <c r="D13" s="83"/>
      <c r="E13" s="83">
        <v>0</v>
      </c>
      <c r="F13" s="73"/>
      <c r="G13" s="83">
        <v>0</v>
      </c>
    </row>
    <row r="14" spans="1:9" x14ac:dyDescent="0.25">
      <c r="A14" s="75"/>
      <c r="B14" s="75" t="s">
        <v>49</v>
      </c>
      <c r="C14" s="83">
        <v>-3718.13</v>
      </c>
      <c r="D14" s="83"/>
      <c r="E14" s="83">
        <v>7019.38</v>
      </c>
      <c r="F14" s="73"/>
      <c r="G14" s="83">
        <v>5000</v>
      </c>
      <c r="H14" s="78"/>
      <c r="I14" s="96">
        <v>2300</v>
      </c>
    </row>
    <row r="15" spans="1:9" ht="16.5" thickBot="1" x14ac:dyDescent="0.3">
      <c r="A15" s="75"/>
      <c r="B15" s="75" t="s">
        <v>51</v>
      </c>
      <c r="C15" s="84">
        <v>0</v>
      </c>
      <c r="D15" s="83"/>
      <c r="E15" s="84">
        <v>64</v>
      </c>
      <c r="F15" s="73"/>
      <c r="G15" s="84">
        <v>0</v>
      </c>
    </row>
    <row r="16" spans="1:9" x14ac:dyDescent="0.25">
      <c r="A16" s="75" t="s">
        <v>53</v>
      </c>
      <c r="B16" s="75"/>
      <c r="C16" s="85">
        <f>ROUND(SUM(C4:C15),5)</f>
        <v>65880.240000000005</v>
      </c>
      <c r="D16" s="85"/>
      <c r="E16" s="85">
        <f>ROUND(SUM(E4:E15),5)</f>
        <v>60945.96</v>
      </c>
      <c r="F16" s="86"/>
      <c r="G16" s="85">
        <f>ROUND(SUM(G4:G15),5)</f>
        <v>62750</v>
      </c>
      <c r="H16" s="1" t="s">
        <v>185</v>
      </c>
      <c r="I16" s="96">
        <f>SUM(I5:I15)</f>
        <v>70433</v>
      </c>
    </row>
    <row r="17" spans="1:9" x14ac:dyDescent="0.25">
      <c r="A17" s="75" t="s">
        <v>6</v>
      </c>
      <c r="B17" s="75"/>
      <c r="C17" s="83"/>
      <c r="D17" s="83"/>
      <c r="E17" s="83"/>
      <c r="F17" s="73"/>
      <c r="G17" s="83"/>
    </row>
    <row r="18" spans="1:9" x14ac:dyDescent="0.25">
      <c r="A18" s="75"/>
      <c r="B18" s="75" t="s">
        <v>54</v>
      </c>
      <c r="C18" s="83">
        <v>2775.51</v>
      </c>
      <c r="D18" s="83"/>
      <c r="E18" s="83">
        <v>2967.09</v>
      </c>
      <c r="F18" s="73"/>
      <c r="G18" s="83">
        <v>3300</v>
      </c>
      <c r="I18" s="96">
        <v>3500</v>
      </c>
    </row>
    <row r="19" spans="1:9" ht="47.25" x14ac:dyDescent="0.25">
      <c r="A19" s="75"/>
      <c r="B19" s="75" t="s">
        <v>55</v>
      </c>
      <c r="C19" s="83">
        <v>9244.32</v>
      </c>
      <c r="D19" s="83"/>
      <c r="E19" s="83">
        <v>35426.639999999999</v>
      </c>
      <c r="F19" s="73"/>
      <c r="G19" s="95">
        <v>60000</v>
      </c>
      <c r="H19" s="78" t="s">
        <v>188</v>
      </c>
      <c r="I19" s="96">
        <v>60000</v>
      </c>
    </row>
    <row r="20" spans="1:9" x14ac:dyDescent="0.25">
      <c r="A20" s="75"/>
      <c r="B20" s="75" t="s">
        <v>56</v>
      </c>
      <c r="C20" s="83">
        <v>1015.59</v>
      </c>
      <c r="D20" s="83"/>
      <c r="E20" s="83">
        <v>564.5</v>
      </c>
      <c r="F20" s="73"/>
      <c r="G20" s="83">
        <v>1000</v>
      </c>
      <c r="I20" s="96">
        <v>1000</v>
      </c>
    </row>
    <row r="21" spans="1:9" x14ac:dyDescent="0.25">
      <c r="A21" s="75"/>
      <c r="B21" s="75" t="s">
        <v>57</v>
      </c>
      <c r="C21" s="83">
        <v>0</v>
      </c>
      <c r="D21" s="83"/>
      <c r="E21" s="83">
        <v>2700</v>
      </c>
      <c r="F21" s="73"/>
      <c r="G21" s="83">
        <v>2600</v>
      </c>
      <c r="I21" s="96">
        <v>2600</v>
      </c>
    </row>
    <row r="22" spans="1:9" x14ac:dyDescent="0.25">
      <c r="A22" s="75"/>
      <c r="B22" s="75" t="s">
        <v>58</v>
      </c>
      <c r="C22" s="83">
        <v>5000</v>
      </c>
      <c r="D22" s="83"/>
      <c r="E22" s="83">
        <v>5000</v>
      </c>
      <c r="F22" s="73"/>
      <c r="G22" s="83">
        <v>5000</v>
      </c>
      <c r="I22" s="96">
        <v>5000</v>
      </c>
    </row>
    <row r="23" spans="1:9" x14ac:dyDescent="0.25">
      <c r="A23" s="75"/>
      <c r="B23" s="75" t="s">
        <v>59</v>
      </c>
      <c r="C23" s="83">
        <v>309.01</v>
      </c>
      <c r="D23" s="83"/>
      <c r="E23" s="83">
        <v>-651.4</v>
      </c>
      <c r="F23" s="73"/>
      <c r="G23" s="83">
        <v>800</v>
      </c>
      <c r="I23" s="96">
        <v>1000</v>
      </c>
    </row>
    <row r="24" spans="1:9" x14ac:dyDescent="0.25">
      <c r="A24" s="75"/>
      <c r="B24" s="75" t="s">
        <v>62</v>
      </c>
      <c r="C24" s="83">
        <v>0</v>
      </c>
      <c r="D24" s="83"/>
      <c r="E24" s="83">
        <v>10000</v>
      </c>
      <c r="F24" s="73"/>
      <c r="G24" s="83">
        <v>0</v>
      </c>
    </row>
    <row r="25" spans="1:9" x14ac:dyDescent="0.25">
      <c r="A25" s="75"/>
      <c r="B25" s="75" t="s">
        <v>63</v>
      </c>
      <c r="C25" s="83">
        <v>0</v>
      </c>
      <c r="D25" s="83"/>
      <c r="E25" s="83">
        <v>6415.27</v>
      </c>
      <c r="F25" s="73"/>
      <c r="G25" s="83">
        <v>6800</v>
      </c>
      <c r="I25" s="96">
        <v>6500</v>
      </c>
    </row>
    <row r="26" spans="1:9" ht="16.5" thickBot="1" x14ac:dyDescent="0.3">
      <c r="A26" s="75"/>
      <c r="B26" s="75" t="s">
        <v>68</v>
      </c>
      <c r="C26" s="87">
        <v>400</v>
      </c>
      <c r="D26" s="83"/>
      <c r="E26" s="87">
        <v>1300</v>
      </c>
      <c r="F26" s="73"/>
      <c r="G26" s="87">
        <v>3000</v>
      </c>
      <c r="H26" s="1" t="s">
        <v>166</v>
      </c>
      <c r="I26" s="96">
        <v>3500</v>
      </c>
    </row>
    <row r="27" spans="1:9" ht="16.5" thickBot="1" x14ac:dyDescent="0.3">
      <c r="A27" s="75" t="s">
        <v>69</v>
      </c>
      <c r="B27" s="75"/>
      <c r="C27" s="88">
        <f>ROUND(SUM(C17:C26),5)</f>
        <v>18744.43</v>
      </c>
      <c r="D27" s="85"/>
      <c r="E27" s="88">
        <f>ROUND(SUM(E17:E26),5)</f>
        <v>63722.1</v>
      </c>
      <c r="F27" s="86"/>
      <c r="G27" s="88">
        <f>ROUND(SUM(G17:G26),5)</f>
        <v>82500</v>
      </c>
      <c r="I27" s="96">
        <f>SUM(I18:I26)</f>
        <v>83100</v>
      </c>
    </row>
    <row r="28" spans="1:9" ht="16.5" thickBot="1" x14ac:dyDescent="0.3">
      <c r="A28" s="75"/>
      <c r="B28" s="75"/>
      <c r="C28" s="89">
        <f>ROUND(C16-C27,5)</f>
        <v>47135.81</v>
      </c>
      <c r="D28" s="90"/>
      <c r="E28" s="89">
        <f>ROUND(E16-E27,5)</f>
        <v>-2776.14</v>
      </c>
      <c r="F28" s="90"/>
      <c r="G28" s="89">
        <f>ROUND(G16-G27,5)</f>
        <v>-19750</v>
      </c>
      <c r="H28" s="91" t="s">
        <v>187</v>
      </c>
      <c r="I28" s="96">
        <f>I16-I27</f>
        <v>-12667</v>
      </c>
    </row>
    <row r="29" spans="1:9" ht="16.5" thickTop="1" x14ac:dyDescent="0.25">
      <c r="H29" s="1" t="s">
        <v>186</v>
      </c>
    </row>
    <row r="30" spans="1:9" x14ac:dyDescent="0.25">
      <c r="C30" s="71" t="s">
        <v>93</v>
      </c>
      <c r="D30" s="71"/>
      <c r="E30" s="71"/>
      <c r="F30" s="71"/>
      <c r="G30" s="72"/>
      <c r="H30" s="92"/>
    </row>
    <row r="31" spans="1:9" x14ac:dyDescent="0.25">
      <c r="C31" s="3" t="s">
        <v>94</v>
      </c>
      <c r="D31" s="3"/>
      <c r="E31" s="3"/>
      <c r="F31" s="3"/>
      <c r="G31" s="73">
        <f>'FINAL 17-18'!B97</f>
        <v>59556.98000000001</v>
      </c>
      <c r="I31" s="96">
        <f>G31+I28</f>
        <v>46889.98000000001</v>
      </c>
    </row>
    <row r="32" spans="1:9" x14ac:dyDescent="0.25">
      <c r="C32" s="3" t="s">
        <v>95</v>
      </c>
      <c r="D32" s="3"/>
      <c r="E32" s="3"/>
      <c r="F32" s="3"/>
      <c r="G32" s="73">
        <f>C28</f>
        <v>47135.81</v>
      </c>
    </row>
    <row r="33" spans="3:7" x14ac:dyDescent="0.25">
      <c r="C33" s="74" t="s">
        <v>181</v>
      </c>
      <c r="D33" s="3"/>
      <c r="E33" s="3"/>
      <c r="F33" s="3"/>
      <c r="G33" s="73">
        <v>106692.79</v>
      </c>
    </row>
    <row r="34" spans="3:7" x14ac:dyDescent="0.25">
      <c r="D34" s="3"/>
      <c r="E34" s="3"/>
      <c r="F34" s="3"/>
      <c r="G34" s="31">
        <f>G31+G32-G33</f>
        <v>0</v>
      </c>
    </row>
  </sheetData>
  <pageMargins left="0.25" right="0.25" top="0.75" bottom="0.75" header="0.3" footer="0.3"/>
  <pageSetup scale="8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4"/>
  <sheetViews>
    <sheetView topLeftCell="A13" workbookViewId="0">
      <selection activeCell="G19" sqref="G19"/>
    </sheetView>
  </sheetViews>
  <sheetFormatPr defaultColWidth="8.85546875" defaultRowHeight="15.75" x14ac:dyDescent="0.25"/>
  <cols>
    <col min="1" max="1" width="3.140625" style="1" customWidth="1"/>
    <col min="2" max="2" width="41.140625" style="1" bestFit="1" customWidth="1"/>
    <col min="3" max="3" width="12.5703125" style="1" customWidth="1"/>
    <col min="4" max="4" width="3.140625" style="1" customWidth="1"/>
    <col min="5" max="5" width="12.5703125" style="1" customWidth="1"/>
    <col min="6" max="6" width="3.140625" style="1" customWidth="1"/>
    <col min="7" max="7" width="12.5703125" style="1" customWidth="1"/>
    <col min="8" max="8" width="55.5703125" style="1" customWidth="1"/>
    <col min="9" max="9" width="11" style="96" bestFit="1" customWidth="1"/>
    <col min="10" max="12" width="8.85546875" style="1"/>
    <col min="13" max="13" width="12.85546875" style="1" bestFit="1" customWidth="1"/>
    <col min="14" max="16384" width="8.85546875" style="1"/>
  </cols>
  <sheetData>
    <row r="1" spans="1:9" ht="21.95" customHeight="1" x14ac:dyDescent="0.25">
      <c r="A1" s="75" t="s">
        <v>167</v>
      </c>
      <c r="B1" s="75"/>
      <c r="C1" s="76"/>
      <c r="D1" s="76"/>
      <c r="E1" s="77"/>
      <c r="F1" s="78"/>
      <c r="G1" s="76"/>
    </row>
    <row r="2" spans="1:9" ht="16.5" thickBot="1" x14ac:dyDescent="0.3">
      <c r="A2" s="75"/>
      <c r="B2" s="75"/>
      <c r="C2" s="76"/>
      <c r="D2" s="76"/>
      <c r="E2" s="77"/>
      <c r="F2" s="78"/>
      <c r="G2" s="76"/>
    </row>
    <row r="3" spans="1:9" ht="36.950000000000003" customHeight="1" thickTop="1" thickBot="1" x14ac:dyDescent="0.3">
      <c r="A3" s="79"/>
      <c r="B3" s="79"/>
      <c r="C3" s="80" t="s">
        <v>129</v>
      </c>
      <c r="D3" s="93"/>
      <c r="E3" s="80" t="s">
        <v>0</v>
      </c>
      <c r="F3" s="94"/>
      <c r="G3" s="80" t="s">
        <v>156</v>
      </c>
      <c r="H3" s="80" t="s">
        <v>160</v>
      </c>
    </row>
    <row r="4" spans="1:9" ht="16.5" thickTop="1" x14ac:dyDescent="0.25">
      <c r="A4" s="75" t="s">
        <v>4</v>
      </c>
      <c r="B4" s="75"/>
      <c r="C4" s="81"/>
      <c r="D4" s="82"/>
      <c r="E4" s="81"/>
      <c r="G4" s="81"/>
    </row>
    <row r="5" spans="1:9" x14ac:dyDescent="0.25">
      <c r="A5" s="75"/>
      <c r="B5" s="75" t="s">
        <v>5</v>
      </c>
      <c r="C5" s="83">
        <v>11453.41</v>
      </c>
      <c r="D5" s="83"/>
      <c r="E5" s="83">
        <v>9504.2099999999991</v>
      </c>
      <c r="F5" s="73"/>
      <c r="G5" s="83">
        <v>10000</v>
      </c>
      <c r="H5" s="1" t="s">
        <v>171</v>
      </c>
      <c r="I5" s="96">
        <v>11400</v>
      </c>
    </row>
    <row r="6" spans="1:9" x14ac:dyDescent="0.25">
      <c r="A6" s="75"/>
      <c r="B6" s="75" t="s">
        <v>10</v>
      </c>
      <c r="C6" s="83">
        <v>8.0399999999999991</v>
      </c>
      <c r="D6" s="83"/>
      <c r="E6" s="83">
        <v>32.99</v>
      </c>
      <c r="F6" s="73"/>
      <c r="G6" s="83">
        <v>0</v>
      </c>
    </row>
    <row r="7" spans="1:9" ht="31.5" x14ac:dyDescent="0.25">
      <c r="A7" s="75"/>
      <c r="B7" s="75" t="s">
        <v>11</v>
      </c>
      <c r="C7" s="83">
        <v>25381.13</v>
      </c>
      <c r="D7" s="83"/>
      <c r="E7" s="83">
        <v>18326.689999999999</v>
      </c>
      <c r="F7" s="73"/>
      <c r="G7" s="83">
        <v>20000</v>
      </c>
      <c r="H7" s="78" t="s">
        <v>172</v>
      </c>
      <c r="I7" s="96">
        <v>17000</v>
      </c>
    </row>
    <row r="8" spans="1:9" x14ac:dyDescent="0.25">
      <c r="A8" s="75"/>
      <c r="B8" s="75" t="s">
        <v>15</v>
      </c>
      <c r="C8" s="83">
        <v>2897.5</v>
      </c>
      <c r="D8" s="83"/>
      <c r="E8" s="83">
        <v>6278.75</v>
      </c>
      <c r="F8" s="73"/>
      <c r="G8" s="83">
        <v>5000</v>
      </c>
      <c r="H8" s="1" t="s">
        <v>173</v>
      </c>
      <c r="I8" s="96">
        <v>5000</v>
      </c>
    </row>
    <row r="9" spans="1:9" x14ac:dyDescent="0.25">
      <c r="A9" s="75"/>
      <c r="B9" s="75" t="s">
        <v>16</v>
      </c>
      <c r="C9" s="83">
        <v>0</v>
      </c>
      <c r="D9" s="83"/>
      <c r="E9" s="83">
        <v>500</v>
      </c>
      <c r="F9" s="73"/>
      <c r="G9" s="83">
        <v>0</v>
      </c>
    </row>
    <row r="10" spans="1:9" x14ac:dyDescent="0.25">
      <c r="A10" s="75"/>
      <c r="B10" s="75" t="s">
        <v>17</v>
      </c>
      <c r="C10" s="83">
        <v>21502.26</v>
      </c>
      <c r="D10" s="83"/>
      <c r="E10" s="83">
        <v>15987.38</v>
      </c>
      <c r="F10" s="73"/>
      <c r="G10" s="83">
        <v>20000</v>
      </c>
      <c r="H10" s="1" t="s">
        <v>174</v>
      </c>
      <c r="I10" s="96">
        <v>27000</v>
      </c>
    </row>
    <row r="11" spans="1:9" x14ac:dyDescent="0.25">
      <c r="A11" s="75"/>
      <c r="B11" s="75" t="s">
        <v>44</v>
      </c>
      <c r="C11" s="83">
        <v>3591.11</v>
      </c>
      <c r="D11" s="83"/>
      <c r="E11" s="83">
        <v>1910.56</v>
      </c>
      <c r="F11" s="73"/>
      <c r="G11" s="83">
        <v>1500</v>
      </c>
      <c r="H11" s="1" t="s">
        <v>171</v>
      </c>
      <c r="I11" s="96">
        <v>3600</v>
      </c>
    </row>
    <row r="12" spans="1:9" x14ac:dyDescent="0.25">
      <c r="A12" s="75"/>
      <c r="B12" s="75" t="s">
        <v>46</v>
      </c>
      <c r="C12" s="83">
        <v>897</v>
      </c>
      <c r="D12" s="83"/>
      <c r="E12" s="83">
        <v>1322</v>
      </c>
      <c r="F12" s="73"/>
      <c r="G12" s="83">
        <v>1250</v>
      </c>
      <c r="H12" s="1" t="s">
        <v>171</v>
      </c>
      <c r="I12" s="96">
        <v>900</v>
      </c>
    </row>
    <row r="13" spans="1:9" x14ac:dyDescent="0.25">
      <c r="A13" s="75"/>
      <c r="B13" s="75" t="s">
        <v>48</v>
      </c>
      <c r="C13" s="83">
        <v>0</v>
      </c>
      <c r="D13" s="83"/>
      <c r="E13" s="83">
        <v>0</v>
      </c>
      <c r="F13" s="73"/>
      <c r="G13" s="83">
        <v>0</v>
      </c>
    </row>
    <row r="14" spans="1:9" ht="31.5" x14ac:dyDescent="0.25">
      <c r="A14" s="75"/>
      <c r="B14" s="75" t="s">
        <v>49</v>
      </c>
      <c r="C14" s="83">
        <v>-8740.9599999999991</v>
      </c>
      <c r="D14" s="83"/>
      <c r="E14" s="83">
        <v>7019.38</v>
      </c>
      <c r="F14" s="73"/>
      <c r="G14" s="83">
        <v>5000</v>
      </c>
      <c r="H14" s="78" t="s">
        <v>175</v>
      </c>
      <c r="I14" s="96">
        <v>2300</v>
      </c>
    </row>
    <row r="15" spans="1:9" ht="16.5" thickBot="1" x14ac:dyDescent="0.3">
      <c r="A15" s="75"/>
      <c r="B15" s="75" t="s">
        <v>51</v>
      </c>
      <c r="C15" s="84">
        <v>0</v>
      </c>
      <c r="D15" s="83"/>
      <c r="E15" s="84">
        <v>64</v>
      </c>
      <c r="F15" s="73"/>
      <c r="G15" s="84">
        <v>0</v>
      </c>
    </row>
    <row r="16" spans="1:9" x14ac:dyDescent="0.25">
      <c r="A16" s="75" t="s">
        <v>53</v>
      </c>
      <c r="B16" s="75"/>
      <c r="C16" s="85">
        <f>ROUND(SUM(C4:C15),5)</f>
        <v>56989.49</v>
      </c>
      <c r="D16" s="85"/>
      <c r="E16" s="85">
        <f>ROUND(SUM(E4:E15),5)</f>
        <v>60945.96</v>
      </c>
      <c r="F16" s="86"/>
      <c r="G16" s="85">
        <f>ROUND(SUM(G4:G15),5)</f>
        <v>62750</v>
      </c>
      <c r="H16" s="1" t="s">
        <v>177</v>
      </c>
      <c r="I16" s="96">
        <f>SUM(I5:I15)</f>
        <v>67200</v>
      </c>
    </row>
    <row r="17" spans="1:9" x14ac:dyDescent="0.25">
      <c r="A17" s="75" t="s">
        <v>6</v>
      </c>
      <c r="B17" s="75"/>
      <c r="C17" s="83"/>
      <c r="D17" s="83"/>
      <c r="E17" s="83"/>
      <c r="F17" s="73"/>
      <c r="G17" s="83"/>
    </row>
    <row r="18" spans="1:9" x14ac:dyDescent="0.25">
      <c r="A18" s="75"/>
      <c r="B18" s="75" t="s">
        <v>54</v>
      </c>
      <c r="C18" s="83">
        <v>2745.51</v>
      </c>
      <c r="D18" s="83"/>
      <c r="E18" s="83">
        <v>2967.09</v>
      </c>
      <c r="F18" s="73"/>
      <c r="G18" s="83">
        <v>3300</v>
      </c>
      <c r="H18" s="1" t="s">
        <v>168</v>
      </c>
      <c r="I18" s="96">
        <v>3500</v>
      </c>
    </row>
    <row r="19" spans="1:9" x14ac:dyDescent="0.25">
      <c r="A19" s="75"/>
      <c r="B19" s="75" t="s">
        <v>55</v>
      </c>
      <c r="C19" s="83">
        <v>0</v>
      </c>
      <c r="D19" s="83"/>
      <c r="E19" s="83">
        <v>35426.639999999999</v>
      </c>
      <c r="F19" s="73"/>
      <c r="G19" s="95">
        <v>40000</v>
      </c>
      <c r="H19" s="1" t="s">
        <v>169</v>
      </c>
      <c r="I19" s="96">
        <v>60000</v>
      </c>
    </row>
    <row r="20" spans="1:9" x14ac:dyDescent="0.25">
      <c r="A20" s="75"/>
      <c r="B20" s="75" t="s">
        <v>56</v>
      </c>
      <c r="C20" s="83">
        <v>32.83</v>
      </c>
      <c r="D20" s="83"/>
      <c r="E20" s="83">
        <v>564.5</v>
      </c>
      <c r="F20" s="73"/>
      <c r="G20" s="83">
        <v>1000</v>
      </c>
      <c r="I20" s="96">
        <v>1000</v>
      </c>
    </row>
    <row r="21" spans="1:9" x14ac:dyDescent="0.25">
      <c r="A21" s="75"/>
      <c r="B21" s="75" t="s">
        <v>57</v>
      </c>
      <c r="C21" s="83">
        <v>0</v>
      </c>
      <c r="D21" s="83"/>
      <c r="E21" s="83">
        <v>2700</v>
      </c>
      <c r="F21" s="73"/>
      <c r="G21" s="83">
        <v>2600</v>
      </c>
      <c r="I21" s="96">
        <v>2600</v>
      </c>
    </row>
    <row r="22" spans="1:9" x14ac:dyDescent="0.25">
      <c r="A22" s="75"/>
      <c r="B22" s="75" t="s">
        <v>58</v>
      </c>
      <c r="C22" s="83">
        <v>5000</v>
      </c>
      <c r="D22" s="83"/>
      <c r="E22" s="83">
        <v>5000</v>
      </c>
      <c r="F22" s="73"/>
      <c r="G22" s="83">
        <v>5000</v>
      </c>
      <c r="I22" s="96">
        <v>5000</v>
      </c>
    </row>
    <row r="23" spans="1:9" x14ac:dyDescent="0.25">
      <c r="A23" s="75"/>
      <c r="B23" s="75" t="s">
        <v>59</v>
      </c>
      <c r="C23" s="83">
        <v>178.34</v>
      </c>
      <c r="D23" s="83"/>
      <c r="E23" s="83">
        <v>-651.4</v>
      </c>
      <c r="F23" s="73"/>
      <c r="G23" s="83">
        <v>800</v>
      </c>
      <c r="I23" s="96">
        <v>1000</v>
      </c>
    </row>
    <row r="24" spans="1:9" x14ac:dyDescent="0.25">
      <c r="A24" s="75"/>
      <c r="B24" s="75" t="s">
        <v>62</v>
      </c>
      <c r="C24" s="83">
        <v>0</v>
      </c>
      <c r="D24" s="83"/>
      <c r="E24" s="83">
        <v>10000</v>
      </c>
      <c r="F24" s="73"/>
      <c r="G24" s="83">
        <v>0</v>
      </c>
    </row>
    <row r="25" spans="1:9" x14ac:dyDescent="0.25">
      <c r="A25" s="75"/>
      <c r="B25" s="75" t="s">
        <v>63</v>
      </c>
      <c r="C25" s="83">
        <v>0</v>
      </c>
      <c r="D25" s="83"/>
      <c r="E25" s="83">
        <v>6415.27</v>
      </c>
      <c r="F25" s="73"/>
      <c r="G25" s="83">
        <v>6800</v>
      </c>
      <c r="I25" s="96">
        <v>6500</v>
      </c>
    </row>
    <row r="26" spans="1:9" ht="16.5" thickBot="1" x14ac:dyDescent="0.3">
      <c r="A26" s="75"/>
      <c r="B26" s="75" t="s">
        <v>68</v>
      </c>
      <c r="C26" s="87">
        <v>400</v>
      </c>
      <c r="D26" s="83"/>
      <c r="E26" s="87">
        <v>1300</v>
      </c>
      <c r="F26" s="73"/>
      <c r="G26" s="87">
        <v>3000</v>
      </c>
      <c r="H26" s="1" t="s">
        <v>166</v>
      </c>
      <c r="I26" s="96">
        <v>3500</v>
      </c>
    </row>
    <row r="27" spans="1:9" ht="16.5" thickBot="1" x14ac:dyDescent="0.3">
      <c r="A27" s="75" t="s">
        <v>69</v>
      </c>
      <c r="B27" s="75"/>
      <c r="C27" s="88">
        <f>ROUND(SUM(C17:C26),5)</f>
        <v>8356.68</v>
      </c>
      <c r="D27" s="85"/>
      <c r="E27" s="88">
        <f>ROUND(SUM(E17:E26),5)</f>
        <v>63722.1</v>
      </c>
      <c r="F27" s="86"/>
      <c r="G27" s="88">
        <f>ROUND(SUM(G17:G26),5)</f>
        <v>62500</v>
      </c>
      <c r="H27" s="1" t="s">
        <v>176</v>
      </c>
      <c r="I27" s="96">
        <f>SUM(I18:I26)</f>
        <v>83100</v>
      </c>
    </row>
    <row r="28" spans="1:9" ht="16.5" thickBot="1" x14ac:dyDescent="0.3">
      <c r="A28" s="75"/>
      <c r="B28" s="75"/>
      <c r="C28" s="89">
        <f>ROUND(C16-C27,5)</f>
        <v>48632.81</v>
      </c>
      <c r="D28" s="90"/>
      <c r="E28" s="89">
        <f>ROUND(E16-E27,5)</f>
        <v>-2776.14</v>
      </c>
      <c r="F28" s="90"/>
      <c r="G28" s="89">
        <f>ROUND(G16-G27,5)</f>
        <v>250</v>
      </c>
      <c r="H28" s="91" t="s">
        <v>178</v>
      </c>
      <c r="I28" s="96">
        <f>I16-I27</f>
        <v>-15900</v>
      </c>
    </row>
    <row r="29" spans="1:9" ht="16.5" thickTop="1" x14ac:dyDescent="0.25">
      <c r="H29" s="1" t="s">
        <v>179</v>
      </c>
    </row>
    <row r="30" spans="1:9" x14ac:dyDescent="0.25">
      <c r="C30" s="71" t="s">
        <v>93</v>
      </c>
      <c r="D30" s="71"/>
      <c r="E30" s="71"/>
      <c r="F30" s="71"/>
      <c r="G30" s="72"/>
      <c r="H30" s="92"/>
    </row>
    <row r="31" spans="1:9" x14ac:dyDescent="0.25">
      <c r="C31" s="3" t="s">
        <v>94</v>
      </c>
      <c r="D31" s="3"/>
      <c r="E31" s="3"/>
      <c r="F31" s="3"/>
      <c r="G31" s="73">
        <f>'FINAL 17-18'!B97</f>
        <v>59556.98000000001</v>
      </c>
      <c r="I31" s="96">
        <f>G31+I28</f>
        <v>43656.98000000001</v>
      </c>
    </row>
    <row r="32" spans="1:9" x14ac:dyDescent="0.25">
      <c r="C32" s="3" t="s">
        <v>95</v>
      </c>
      <c r="D32" s="3"/>
      <c r="E32" s="3"/>
      <c r="F32" s="3"/>
      <c r="G32" s="73">
        <f>C28</f>
        <v>48632.81</v>
      </c>
    </row>
    <row r="33" spans="3:7" x14ac:dyDescent="0.25">
      <c r="C33" s="74" t="s">
        <v>170</v>
      </c>
      <c r="D33" s="3"/>
      <c r="E33" s="3"/>
      <c r="F33" s="3"/>
      <c r="G33" s="73">
        <v>108189.79</v>
      </c>
    </row>
    <row r="34" spans="3:7" x14ac:dyDescent="0.25">
      <c r="D34" s="3"/>
      <c r="E34" s="3"/>
      <c r="F34" s="3"/>
      <c r="G34" s="31">
        <f>G31+G32-G33</f>
        <v>0</v>
      </c>
    </row>
  </sheetData>
  <pageMargins left="0.25" right="0.25" top="0.75" bottom="0.75" header="0.3" footer="0.3"/>
  <pageSetup scale="8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4"/>
  <sheetViews>
    <sheetView topLeftCell="A10" workbookViewId="0">
      <selection activeCell="G33" sqref="G33"/>
    </sheetView>
  </sheetViews>
  <sheetFormatPr defaultColWidth="8.85546875" defaultRowHeight="15.75" x14ac:dyDescent="0.25"/>
  <cols>
    <col min="1" max="1" width="3.140625" style="1" customWidth="1"/>
    <col min="2" max="2" width="41.140625" style="1" bestFit="1" customWidth="1"/>
    <col min="3" max="3" width="12.5703125" style="1" customWidth="1"/>
    <col min="4" max="4" width="3.140625" style="1" customWidth="1"/>
    <col min="5" max="5" width="12.5703125" style="1" customWidth="1"/>
    <col min="6" max="6" width="3.140625" style="1" customWidth="1"/>
    <col min="7" max="7" width="12.5703125" style="1" customWidth="1"/>
    <col min="8" max="8" width="54.5703125" style="1" bestFit="1" customWidth="1"/>
    <col min="9" max="12" width="8.85546875" style="1"/>
    <col min="13" max="13" width="12.85546875" style="1" bestFit="1" customWidth="1"/>
    <col min="14" max="16384" width="8.85546875" style="1"/>
  </cols>
  <sheetData>
    <row r="1" spans="1:8" ht="21.95" customHeight="1" x14ac:dyDescent="0.25">
      <c r="A1" s="75" t="s">
        <v>161</v>
      </c>
      <c r="B1" s="75"/>
      <c r="C1" s="76"/>
      <c r="D1" s="76"/>
      <c r="E1" s="77"/>
      <c r="F1" s="78"/>
      <c r="G1" s="76"/>
    </row>
    <row r="2" spans="1:8" ht="16.5" thickBot="1" x14ac:dyDescent="0.3">
      <c r="A2" s="75"/>
      <c r="B2" s="75"/>
      <c r="C2" s="76"/>
      <c r="D2" s="76"/>
      <c r="E2" s="77"/>
      <c r="F2" s="78"/>
      <c r="G2" s="76"/>
    </row>
    <row r="3" spans="1:8" ht="36.950000000000003" customHeight="1" thickTop="1" thickBot="1" x14ac:dyDescent="0.3">
      <c r="A3" s="79"/>
      <c r="B3" s="79"/>
      <c r="C3" s="80" t="s">
        <v>129</v>
      </c>
      <c r="D3" s="93"/>
      <c r="E3" s="80" t="s">
        <v>0</v>
      </c>
      <c r="F3" s="94"/>
      <c r="G3" s="80" t="s">
        <v>156</v>
      </c>
      <c r="H3" s="80" t="s">
        <v>160</v>
      </c>
    </row>
    <row r="4" spans="1:8" ht="16.5" thickTop="1" x14ac:dyDescent="0.25">
      <c r="A4" s="75" t="s">
        <v>4</v>
      </c>
      <c r="B4" s="75"/>
      <c r="C4" s="81"/>
      <c r="D4" s="82"/>
      <c r="E4" s="81"/>
      <c r="G4" s="81"/>
    </row>
    <row r="5" spans="1:8" x14ac:dyDescent="0.25">
      <c r="A5" s="75"/>
      <c r="B5" s="75" t="s">
        <v>5</v>
      </c>
      <c r="C5" s="83">
        <v>11392.41</v>
      </c>
      <c r="D5" s="83"/>
      <c r="E5" s="83">
        <v>9504.2099999999991</v>
      </c>
      <c r="F5" s="73"/>
      <c r="G5" s="83">
        <v>10000</v>
      </c>
      <c r="H5" s="1" t="s">
        <v>162</v>
      </c>
    </row>
    <row r="6" spans="1:8" x14ac:dyDescent="0.25">
      <c r="A6" s="75"/>
      <c r="B6" s="75" t="s">
        <v>10</v>
      </c>
      <c r="C6" s="83">
        <v>3.35</v>
      </c>
      <c r="D6" s="83"/>
      <c r="E6" s="83">
        <v>32.99</v>
      </c>
      <c r="F6" s="73"/>
      <c r="G6" s="83">
        <v>0</v>
      </c>
    </row>
    <row r="7" spans="1:8" x14ac:dyDescent="0.25">
      <c r="A7" s="75"/>
      <c r="B7" s="75" t="s">
        <v>11</v>
      </c>
      <c r="C7" s="83">
        <v>25272.53</v>
      </c>
      <c r="D7" s="83"/>
      <c r="E7" s="83">
        <v>18326.689999999999</v>
      </c>
      <c r="F7" s="73"/>
      <c r="G7" s="83">
        <v>20000</v>
      </c>
      <c r="H7" s="1" t="s">
        <v>157</v>
      </c>
    </row>
    <row r="8" spans="1:8" x14ac:dyDescent="0.25">
      <c r="A8" s="75"/>
      <c r="B8" s="75" t="s">
        <v>15</v>
      </c>
      <c r="C8" s="83">
        <v>0</v>
      </c>
      <c r="D8" s="83"/>
      <c r="E8" s="83">
        <v>6278.75</v>
      </c>
      <c r="F8" s="73"/>
      <c r="G8" s="83">
        <v>5000</v>
      </c>
      <c r="H8" s="1" t="s">
        <v>159</v>
      </c>
    </row>
    <row r="9" spans="1:8" x14ac:dyDescent="0.25">
      <c r="A9" s="75"/>
      <c r="B9" s="75" t="s">
        <v>16</v>
      </c>
      <c r="C9" s="83">
        <v>0</v>
      </c>
      <c r="D9" s="83"/>
      <c r="E9" s="83">
        <v>500</v>
      </c>
      <c r="F9" s="73"/>
      <c r="G9" s="83">
        <v>0</v>
      </c>
    </row>
    <row r="10" spans="1:8" x14ac:dyDescent="0.25">
      <c r="A10" s="75"/>
      <c r="B10" s="75" t="s">
        <v>17</v>
      </c>
      <c r="C10" s="83">
        <f>7949</f>
        <v>7949</v>
      </c>
      <c r="D10" s="83"/>
      <c r="E10" s="83">
        <v>15987.38</v>
      </c>
      <c r="F10" s="73"/>
      <c r="G10" s="83">
        <v>20000</v>
      </c>
      <c r="H10" s="1" t="s">
        <v>158</v>
      </c>
    </row>
    <row r="11" spans="1:8" x14ac:dyDescent="0.25">
      <c r="A11" s="75"/>
      <c r="B11" s="75" t="s">
        <v>44</v>
      </c>
      <c r="C11" s="83">
        <v>2711.11</v>
      </c>
      <c r="D11" s="83"/>
      <c r="E11" s="83">
        <v>1910.56</v>
      </c>
      <c r="F11" s="73"/>
      <c r="G11" s="83">
        <v>1500</v>
      </c>
      <c r="H11" s="1" t="s">
        <v>163</v>
      </c>
    </row>
    <row r="12" spans="1:8" x14ac:dyDescent="0.25">
      <c r="A12" s="75"/>
      <c r="B12" s="75" t="s">
        <v>46</v>
      </c>
      <c r="C12" s="83">
        <v>897</v>
      </c>
      <c r="D12" s="83"/>
      <c r="E12" s="83">
        <v>1322</v>
      </c>
      <c r="F12" s="73"/>
      <c r="G12" s="83">
        <v>1250</v>
      </c>
      <c r="H12" s="1" t="s">
        <v>164</v>
      </c>
    </row>
    <row r="13" spans="1:8" x14ac:dyDescent="0.25">
      <c r="A13" s="75"/>
      <c r="B13" s="75" t="s">
        <v>48</v>
      </c>
      <c r="C13" s="83">
        <v>0</v>
      </c>
      <c r="D13" s="83"/>
      <c r="E13" s="83">
        <v>0</v>
      </c>
      <c r="F13" s="73"/>
      <c r="G13" s="83">
        <v>0</v>
      </c>
    </row>
    <row r="14" spans="1:8" x14ac:dyDescent="0.25">
      <c r="A14" s="75"/>
      <c r="B14" s="75" t="s">
        <v>49</v>
      </c>
      <c r="C14" s="83">
        <v>-14160.76</v>
      </c>
      <c r="D14" s="83"/>
      <c r="E14" s="83">
        <v>7019.38</v>
      </c>
      <c r="F14" s="73"/>
      <c r="G14" s="83">
        <v>5000</v>
      </c>
      <c r="H14" s="1" t="s">
        <v>165</v>
      </c>
    </row>
    <row r="15" spans="1:8" ht="16.5" thickBot="1" x14ac:dyDescent="0.3">
      <c r="A15" s="75"/>
      <c r="B15" s="75" t="s">
        <v>51</v>
      </c>
      <c r="C15" s="84">
        <v>0</v>
      </c>
      <c r="D15" s="83"/>
      <c r="E15" s="84">
        <v>64</v>
      </c>
      <c r="F15" s="73"/>
      <c r="G15" s="84">
        <v>0</v>
      </c>
    </row>
    <row r="16" spans="1:8" x14ac:dyDescent="0.25">
      <c r="A16" s="75" t="s">
        <v>53</v>
      </c>
      <c r="B16" s="75"/>
      <c r="C16" s="85">
        <f>ROUND(SUM(C4:C15),5)</f>
        <v>34064.639999999999</v>
      </c>
      <c r="D16" s="85"/>
      <c r="E16" s="85">
        <f>ROUND(SUM(E4:E15),5)</f>
        <v>60945.96</v>
      </c>
      <c r="F16" s="86"/>
      <c r="G16" s="85">
        <f>ROUND(SUM(G4:G15),5)</f>
        <v>62750</v>
      </c>
    </row>
    <row r="17" spans="1:8" x14ac:dyDescent="0.25">
      <c r="A17" s="75" t="s">
        <v>6</v>
      </c>
      <c r="B17" s="75"/>
      <c r="C17" s="83"/>
      <c r="D17" s="83"/>
      <c r="E17" s="83"/>
      <c r="F17" s="73"/>
      <c r="G17" s="83"/>
    </row>
    <row r="18" spans="1:8" x14ac:dyDescent="0.25">
      <c r="A18" s="75"/>
      <c r="B18" s="75" t="s">
        <v>54</v>
      </c>
      <c r="C18" s="83">
        <v>233.12</v>
      </c>
      <c r="D18" s="83"/>
      <c r="E18" s="83">
        <v>2967.09</v>
      </c>
      <c r="F18" s="73"/>
      <c r="G18" s="83">
        <v>3300</v>
      </c>
    </row>
    <row r="19" spans="1:8" x14ac:dyDescent="0.25">
      <c r="A19" s="75"/>
      <c r="B19" s="75" t="s">
        <v>55</v>
      </c>
      <c r="C19" s="83">
        <v>0</v>
      </c>
      <c r="D19" s="83"/>
      <c r="E19" s="83">
        <v>35426.639999999999</v>
      </c>
      <c r="F19" s="73"/>
      <c r="G19" s="83">
        <v>40000</v>
      </c>
    </row>
    <row r="20" spans="1:8" x14ac:dyDescent="0.25">
      <c r="A20" s="75"/>
      <c r="B20" s="75" t="s">
        <v>56</v>
      </c>
      <c r="C20" s="83">
        <v>0</v>
      </c>
      <c r="D20" s="83"/>
      <c r="E20" s="83">
        <v>564.5</v>
      </c>
      <c r="F20" s="73"/>
      <c r="G20" s="83">
        <v>1000</v>
      </c>
    </row>
    <row r="21" spans="1:8" x14ac:dyDescent="0.25">
      <c r="A21" s="75"/>
      <c r="B21" s="75" t="s">
        <v>57</v>
      </c>
      <c r="C21" s="83">
        <v>0</v>
      </c>
      <c r="D21" s="83"/>
      <c r="E21" s="83">
        <v>2700</v>
      </c>
      <c r="F21" s="73"/>
      <c r="G21" s="83">
        <v>2600</v>
      </c>
    </row>
    <row r="22" spans="1:8" x14ac:dyDescent="0.25">
      <c r="A22" s="75"/>
      <c r="B22" s="75" t="s">
        <v>58</v>
      </c>
      <c r="C22" s="83">
        <v>0</v>
      </c>
      <c r="D22" s="83"/>
      <c r="E22" s="83">
        <v>5000</v>
      </c>
      <c r="F22" s="73"/>
      <c r="G22" s="83">
        <v>5000</v>
      </c>
    </row>
    <row r="23" spans="1:8" x14ac:dyDescent="0.25">
      <c r="A23" s="75"/>
      <c r="B23" s="75" t="s">
        <v>59</v>
      </c>
      <c r="C23" s="83">
        <v>0</v>
      </c>
      <c r="D23" s="83"/>
      <c r="E23" s="83">
        <v>-651.4</v>
      </c>
      <c r="F23" s="73"/>
      <c r="G23" s="83">
        <v>800</v>
      </c>
    </row>
    <row r="24" spans="1:8" x14ac:dyDescent="0.25">
      <c r="A24" s="75"/>
      <c r="B24" s="75" t="s">
        <v>62</v>
      </c>
      <c r="C24" s="83">
        <v>0</v>
      </c>
      <c r="D24" s="83"/>
      <c r="E24" s="83">
        <v>10000</v>
      </c>
      <c r="F24" s="73"/>
      <c r="G24" s="83">
        <v>0</v>
      </c>
    </row>
    <row r="25" spans="1:8" x14ac:dyDescent="0.25">
      <c r="A25" s="75"/>
      <c r="B25" s="75" t="s">
        <v>63</v>
      </c>
      <c r="C25" s="83">
        <v>0</v>
      </c>
      <c r="D25" s="83"/>
      <c r="E25" s="83">
        <v>6415.27</v>
      </c>
      <c r="F25" s="73"/>
      <c r="G25" s="83">
        <v>6800</v>
      </c>
    </row>
    <row r="26" spans="1:8" ht="16.5" thickBot="1" x14ac:dyDescent="0.3">
      <c r="A26" s="75"/>
      <c r="B26" s="75" t="s">
        <v>68</v>
      </c>
      <c r="C26" s="87">
        <v>0</v>
      </c>
      <c r="D26" s="83"/>
      <c r="E26" s="87">
        <v>1300</v>
      </c>
      <c r="F26" s="73"/>
      <c r="G26" s="87">
        <v>3000</v>
      </c>
      <c r="H26" s="1" t="s">
        <v>166</v>
      </c>
    </row>
    <row r="27" spans="1:8" ht="16.5" thickBot="1" x14ac:dyDescent="0.3">
      <c r="A27" s="75" t="s">
        <v>69</v>
      </c>
      <c r="B27" s="75"/>
      <c r="C27" s="88">
        <f>ROUND(SUM(C17:C26),5)</f>
        <v>233.12</v>
      </c>
      <c r="D27" s="85"/>
      <c r="E27" s="88">
        <f>ROUND(SUM(E17:E26),5)</f>
        <v>63722.1</v>
      </c>
      <c r="F27" s="86"/>
      <c r="G27" s="88">
        <f>ROUND(SUM(G17:G26),5)</f>
        <v>62500</v>
      </c>
    </row>
    <row r="28" spans="1:8" ht="16.5" thickBot="1" x14ac:dyDescent="0.3">
      <c r="A28" s="75"/>
      <c r="B28" s="75"/>
      <c r="C28" s="89">
        <f>ROUND(C16-C27,5)</f>
        <v>33831.519999999997</v>
      </c>
      <c r="D28" s="90"/>
      <c r="E28" s="89">
        <f>ROUND(E16-E27,5)</f>
        <v>-2776.14</v>
      </c>
      <c r="F28" s="90"/>
      <c r="G28" s="89">
        <f>ROUND(G16-G27,5)</f>
        <v>250</v>
      </c>
      <c r="H28" s="91"/>
    </row>
    <row r="29" spans="1:8" ht="16.5" thickTop="1" x14ac:dyDescent="0.25"/>
    <row r="30" spans="1:8" x14ac:dyDescent="0.25">
      <c r="C30" s="71" t="s">
        <v>93</v>
      </c>
      <c r="D30" s="71"/>
      <c r="E30" s="71"/>
      <c r="F30" s="71"/>
      <c r="G30" s="72"/>
      <c r="H30" s="92"/>
    </row>
    <row r="31" spans="1:8" x14ac:dyDescent="0.25">
      <c r="C31" s="3" t="s">
        <v>94</v>
      </c>
      <c r="D31" s="3"/>
      <c r="E31" s="3"/>
      <c r="F31" s="3"/>
      <c r="G31" s="73">
        <f>'FINAL 17-18'!B97</f>
        <v>59556.98000000001</v>
      </c>
    </row>
    <row r="32" spans="1:8" x14ac:dyDescent="0.25">
      <c r="C32" s="3" t="s">
        <v>95</v>
      </c>
      <c r="D32" s="3"/>
      <c r="E32" s="3"/>
      <c r="F32" s="3"/>
      <c r="G32" s="73">
        <f>C28</f>
        <v>33831.519999999997</v>
      </c>
    </row>
    <row r="33" spans="3:7" x14ac:dyDescent="0.25">
      <c r="C33" s="74" t="s">
        <v>155</v>
      </c>
      <c r="D33" s="3"/>
      <c r="E33" s="3"/>
      <c r="F33" s="3"/>
      <c r="G33" s="73">
        <v>93388.5</v>
      </c>
    </row>
    <row r="34" spans="3:7" x14ac:dyDescent="0.25">
      <c r="D34" s="3"/>
      <c r="E34" s="3"/>
      <c r="F34" s="3"/>
      <c r="G34" s="31">
        <f>G31+G32-G33</f>
        <v>0</v>
      </c>
    </row>
  </sheetData>
  <pageMargins left="0.25" right="0.25" top="0.75" bottom="0.75" header="0.3" footer="0.3"/>
  <pageSetup scale="8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98"/>
  <sheetViews>
    <sheetView workbookViewId="0">
      <selection activeCell="B97" sqref="B97"/>
    </sheetView>
  </sheetViews>
  <sheetFormatPr defaultColWidth="8.85546875" defaultRowHeight="15" x14ac:dyDescent="0.25"/>
  <cols>
    <col min="1" max="1" width="48.5703125" style="39" customWidth="1"/>
    <col min="2" max="2" width="12.85546875" style="39" bestFit="1" customWidth="1"/>
    <col min="3" max="3" width="2.140625" style="39" customWidth="1"/>
    <col min="4" max="4" width="11.140625" style="39" bestFit="1" customWidth="1"/>
    <col min="5" max="5" width="2.140625" style="39" hidden="1" customWidth="1"/>
    <col min="6" max="6" width="8.85546875" style="39" hidden="1" customWidth="1"/>
    <col min="7" max="7" width="2.140625" style="39" hidden="1" customWidth="1"/>
    <col min="8" max="8" width="9.140625" style="39" hidden="1" customWidth="1"/>
    <col min="9" max="9" width="5.5703125" style="39" customWidth="1"/>
    <col min="10" max="10" width="11.5703125" style="39" customWidth="1"/>
    <col min="11" max="11" width="5.5703125" style="39" customWidth="1"/>
    <col min="12" max="12" width="15.140625" style="39" customWidth="1"/>
    <col min="13" max="13" width="31.42578125" style="39" bestFit="1" customWidth="1"/>
    <col min="14" max="16384" width="8.85546875" style="39"/>
  </cols>
  <sheetData>
    <row r="1" spans="1:13" ht="30.75" thickBot="1" x14ac:dyDescent="0.3">
      <c r="A1" s="38"/>
      <c r="B1" s="264" t="s">
        <v>128</v>
      </c>
      <c r="C1" s="264"/>
      <c r="D1" s="264"/>
      <c r="E1" s="264"/>
      <c r="F1" s="264"/>
      <c r="G1" s="264"/>
      <c r="H1" s="264"/>
      <c r="J1" s="40" t="s">
        <v>223</v>
      </c>
      <c r="L1" s="40" t="s">
        <v>130</v>
      </c>
    </row>
    <row r="2" spans="1:13" ht="36.950000000000003" customHeight="1" thickTop="1" thickBot="1" x14ac:dyDescent="0.3">
      <c r="A2" s="41"/>
      <c r="B2" s="42" t="s">
        <v>0</v>
      </c>
      <c r="C2" s="43"/>
      <c r="D2" s="42" t="s">
        <v>1</v>
      </c>
      <c r="E2" s="43"/>
      <c r="F2" s="42" t="s">
        <v>2</v>
      </c>
      <c r="G2" s="43"/>
      <c r="H2" s="42" t="s">
        <v>3</v>
      </c>
      <c r="J2" s="42" t="s">
        <v>0</v>
      </c>
      <c r="L2" s="42" t="s">
        <v>129</v>
      </c>
    </row>
    <row r="3" spans="1:13" ht="15.75" thickTop="1" x14ac:dyDescent="0.25">
      <c r="A3" s="38"/>
      <c r="B3" s="44"/>
      <c r="C3" s="45"/>
      <c r="D3" s="44"/>
      <c r="E3" s="45"/>
      <c r="F3" s="44"/>
      <c r="G3" s="45"/>
      <c r="H3" s="46"/>
      <c r="J3" s="44"/>
      <c r="L3" s="44"/>
    </row>
    <row r="4" spans="1:13" x14ac:dyDescent="0.25">
      <c r="A4" s="38" t="s">
        <v>5</v>
      </c>
      <c r="B4" s="44"/>
      <c r="C4" s="45"/>
      <c r="D4" s="44"/>
      <c r="E4" s="45"/>
      <c r="F4" s="44"/>
      <c r="G4" s="45"/>
      <c r="H4" s="46"/>
      <c r="J4" s="44"/>
      <c r="L4" s="44"/>
    </row>
    <row r="5" spans="1:13" x14ac:dyDescent="0.25">
      <c r="A5" s="38" t="s">
        <v>133</v>
      </c>
      <c r="B5" s="47">
        <v>-1245.79</v>
      </c>
      <c r="C5" s="47"/>
      <c r="D5" s="47">
        <v>-1034.24</v>
      </c>
      <c r="E5" s="47"/>
      <c r="F5" s="47">
        <v>-211.55</v>
      </c>
      <c r="G5" s="45"/>
      <c r="H5" s="46">
        <v>-0.20455000000000001</v>
      </c>
      <c r="J5" s="47">
        <v>-1250</v>
      </c>
      <c r="L5" s="47">
        <v>-1250</v>
      </c>
    </row>
    <row r="6" spans="1:13" x14ac:dyDescent="0.25">
      <c r="A6" s="38" t="s">
        <v>134</v>
      </c>
      <c r="B6" s="47">
        <v>10650</v>
      </c>
      <c r="C6" s="47"/>
      <c r="D6" s="47">
        <v>7823</v>
      </c>
      <c r="E6" s="47"/>
      <c r="F6" s="47">
        <v>2827</v>
      </c>
      <c r="G6" s="45"/>
      <c r="H6" s="46">
        <v>0.36137000000000002</v>
      </c>
      <c r="J6" s="47">
        <v>11250</v>
      </c>
      <c r="L6" s="47">
        <v>11250</v>
      </c>
    </row>
    <row r="7" spans="1:13" ht="15.75" thickBot="1" x14ac:dyDescent="0.3">
      <c r="A7" s="38" t="s">
        <v>117</v>
      </c>
      <c r="B7" s="48">
        <v>100</v>
      </c>
      <c r="C7" s="47"/>
      <c r="D7" s="48">
        <v>0</v>
      </c>
      <c r="E7" s="47"/>
      <c r="F7" s="48">
        <v>100</v>
      </c>
      <c r="G7" s="45"/>
      <c r="H7" s="49">
        <v>1</v>
      </c>
      <c r="J7" s="48">
        <v>0</v>
      </c>
      <c r="L7" s="48">
        <v>0</v>
      </c>
    </row>
    <row r="8" spans="1:13" x14ac:dyDescent="0.25">
      <c r="A8" s="38" t="s">
        <v>7</v>
      </c>
      <c r="B8" s="47">
        <v>9504.2099999999991</v>
      </c>
      <c r="C8" s="47"/>
      <c r="D8" s="47">
        <v>6788.76</v>
      </c>
      <c r="E8" s="47"/>
      <c r="F8" s="47">
        <v>2715.45</v>
      </c>
      <c r="G8" s="45"/>
      <c r="H8" s="46">
        <v>0.39999000000000001</v>
      </c>
      <c r="J8" s="47">
        <f>SUM(J5:J7)</f>
        <v>10000</v>
      </c>
      <c r="L8" s="47">
        <f>SUM(L5:L7)</f>
        <v>10000</v>
      </c>
    </row>
    <row r="9" spans="1:13" x14ac:dyDescent="0.25">
      <c r="A9" s="38" t="s">
        <v>8</v>
      </c>
      <c r="B9" s="47">
        <v>0</v>
      </c>
      <c r="C9" s="47"/>
      <c r="D9" s="47">
        <v>3508.57</v>
      </c>
      <c r="E9" s="47"/>
      <c r="F9" s="47">
        <v>-3508.57</v>
      </c>
      <c r="G9" s="45"/>
      <c r="H9" s="46">
        <v>-1</v>
      </c>
      <c r="J9" s="47">
        <v>0</v>
      </c>
      <c r="L9" s="47">
        <v>0</v>
      </c>
    </row>
    <row r="10" spans="1:13" x14ac:dyDescent="0.25">
      <c r="A10" s="38" t="s">
        <v>135</v>
      </c>
      <c r="B10" s="47">
        <v>0</v>
      </c>
      <c r="C10" s="47"/>
      <c r="D10" s="47">
        <v>8260.84</v>
      </c>
      <c r="E10" s="47"/>
      <c r="F10" s="47">
        <v>-8260.84</v>
      </c>
      <c r="G10" s="45"/>
      <c r="H10" s="46">
        <v>-1</v>
      </c>
      <c r="J10" s="47">
        <v>10000</v>
      </c>
      <c r="L10" s="47">
        <v>0</v>
      </c>
    </row>
    <row r="11" spans="1:13" x14ac:dyDescent="0.25">
      <c r="A11" s="38" t="s">
        <v>10</v>
      </c>
      <c r="B11" s="47">
        <v>32.99</v>
      </c>
      <c r="C11" s="47"/>
      <c r="D11" s="47">
        <v>29.02</v>
      </c>
      <c r="E11" s="47"/>
      <c r="F11" s="47">
        <v>-2.59</v>
      </c>
      <c r="G11" s="45"/>
      <c r="H11" s="46">
        <v>-8.9249999999999996E-2</v>
      </c>
      <c r="J11" s="47">
        <v>0</v>
      </c>
      <c r="L11" s="47">
        <v>0</v>
      </c>
    </row>
    <row r="12" spans="1:13" x14ac:dyDescent="0.25">
      <c r="A12" s="38" t="s">
        <v>11</v>
      </c>
      <c r="B12" s="47"/>
      <c r="C12" s="47"/>
      <c r="D12" s="47"/>
      <c r="E12" s="47"/>
      <c r="F12" s="47"/>
      <c r="G12" s="45"/>
      <c r="H12" s="46"/>
      <c r="J12" s="47"/>
      <c r="L12" s="47"/>
    </row>
    <row r="13" spans="1:13" x14ac:dyDescent="0.25">
      <c r="A13" s="38" t="s">
        <v>133</v>
      </c>
      <c r="B13" s="47">
        <v>0</v>
      </c>
      <c r="C13" s="47"/>
      <c r="D13" s="47">
        <v>-485.32</v>
      </c>
      <c r="E13" s="47"/>
      <c r="F13" s="47">
        <v>485.32</v>
      </c>
      <c r="G13" s="45"/>
      <c r="H13" s="46">
        <v>1</v>
      </c>
      <c r="J13" s="47">
        <v>0</v>
      </c>
      <c r="L13" s="47">
        <v>0</v>
      </c>
    </row>
    <row r="14" spans="1:13" x14ac:dyDescent="0.25">
      <c r="A14" s="38" t="s">
        <v>134</v>
      </c>
      <c r="B14" s="47">
        <v>16804.240000000002</v>
      </c>
      <c r="C14" s="47"/>
      <c r="D14" s="47">
        <v>29767.93</v>
      </c>
      <c r="E14" s="47"/>
      <c r="F14" s="47">
        <v>-12963.69</v>
      </c>
      <c r="G14" s="45"/>
      <c r="H14" s="46">
        <v>-0.43548999999999999</v>
      </c>
      <c r="J14" s="47">
        <v>13500</v>
      </c>
      <c r="L14" s="47">
        <v>18500</v>
      </c>
      <c r="M14" s="39" t="s">
        <v>152</v>
      </c>
    </row>
    <row r="15" spans="1:13" x14ac:dyDescent="0.25">
      <c r="A15" s="38" t="s">
        <v>12</v>
      </c>
      <c r="B15" s="47">
        <v>-9347.5499999999993</v>
      </c>
      <c r="C15" s="47"/>
      <c r="D15" s="47">
        <v>-10441.51</v>
      </c>
      <c r="E15" s="47"/>
      <c r="F15" s="47">
        <v>1093.96</v>
      </c>
      <c r="G15" s="45"/>
      <c r="H15" s="46">
        <v>0.10477</v>
      </c>
      <c r="J15" s="47">
        <v>-9500</v>
      </c>
      <c r="L15" s="47">
        <v>-9500</v>
      </c>
    </row>
    <row r="16" spans="1:13" ht="15.75" thickBot="1" x14ac:dyDescent="0.3">
      <c r="A16" s="38" t="s">
        <v>13</v>
      </c>
      <c r="B16" s="48">
        <v>10870</v>
      </c>
      <c r="C16" s="47"/>
      <c r="D16" s="48">
        <v>0</v>
      </c>
      <c r="E16" s="47"/>
      <c r="F16" s="48">
        <v>10870</v>
      </c>
      <c r="G16" s="45"/>
      <c r="H16" s="49">
        <v>1</v>
      </c>
      <c r="J16" s="48">
        <v>11000</v>
      </c>
      <c r="L16" s="48">
        <v>11000</v>
      </c>
    </row>
    <row r="17" spans="1:13" x14ac:dyDescent="0.25">
      <c r="A17" s="38" t="s">
        <v>14</v>
      </c>
      <c r="B17" s="47">
        <f>SUM(B13:B16)</f>
        <v>18326.690000000002</v>
      </c>
      <c r="C17" s="47"/>
      <c r="D17" s="47">
        <v>18841.099999999999</v>
      </c>
      <c r="E17" s="47"/>
      <c r="F17" s="47">
        <v>-514.41</v>
      </c>
      <c r="G17" s="45"/>
      <c r="H17" s="46">
        <v>-2.7300000000000001E-2</v>
      </c>
      <c r="J17" s="47">
        <f>SUM(J13:J16)</f>
        <v>15000</v>
      </c>
      <c r="L17" s="47">
        <f>SUM(L13:L16)</f>
        <v>20000</v>
      </c>
    </row>
    <row r="18" spans="1:13" x14ac:dyDescent="0.25">
      <c r="A18" s="38" t="s">
        <v>15</v>
      </c>
      <c r="B18" s="47">
        <v>6278.75</v>
      </c>
      <c r="C18" s="47"/>
      <c r="D18" s="47">
        <v>1250</v>
      </c>
      <c r="E18" s="47"/>
      <c r="F18" s="47">
        <v>2951.25</v>
      </c>
      <c r="G18" s="45"/>
      <c r="H18" s="46">
        <v>2.3610000000000002</v>
      </c>
      <c r="J18" s="47">
        <v>0</v>
      </c>
      <c r="L18" s="47">
        <v>5000</v>
      </c>
      <c r="M18" s="39" t="s">
        <v>153</v>
      </c>
    </row>
    <row r="19" spans="1:13" x14ac:dyDescent="0.25">
      <c r="A19" s="38" t="s">
        <v>16</v>
      </c>
      <c r="B19" s="47">
        <v>500</v>
      </c>
      <c r="C19" s="47"/>
      <c r="D19" s="47">
        <v>250</v>
      </c>
      <c r="E19" s="47"/>
      <c r="F19" s="47">
        <v>250</v>
      </c>
      <c r="G19" s="45"/>
      <c r="H19" s="46">
        <v>1</v>
      </c>
      <c r="J19" s="47">
        <v>0</v>
      </c>
      <c r="L19" s="47">
        <v>0</v>
      </c>
    </row>
    <row r="20" spans="1:13" x14ac:dyDescent="0.25">
      <c r="A20" s="38" t="s">
        <v>17</v>
      </c>
      <c r="B20" s="47"/>
      <c r="C20" s="47"/>
      <c r="D20" s="47"/>
      <c r="E20" s="47"/>
      <c r="F20" s="47"/>
      <c r="G20" s="45"/>
      <c r="H20" s="46"/>
      <c r="J20" s="47"/>
      <c r="L20" s="47"/>
    </row>
    <row r="21" spans="1:13" x14ac:dyDescent="0.25">
      <c r="A21" s="38" t="s">
        <v>18</v>
      </c>
      <c r="B21" s="47">
        <v>-4323.7</v>
      </c>
      <c r="C21" s="47"/>
      <c r="D21" s="47">
        <v>-1995.69</v>
      </c>
      <c r="E21" s="47"/>
      <c r="F21" s="47">
        <v>1427.73</v>
      </c>
      <c r="G21" s="45"/>
      <c r="H21" s="46">
        <v>0.71540999999999999</v>
      </c>
      <c r="J21" s="47">
        <v>0</v>
      </c>
      <c r="L21" s="47">
        <v>-500</v>
      </c>
      <c r="M21" s="39" t="s">
        <v>136</v>
      </c>
    </row>
    <row r="22" spans="1:13" x14ac:dyDescent="0.25">
      <c r="A22" s="38" t="s">
        <v>19</v>
      </c>
      <c r="B22" s="47"/>
      <c r="C22" s="47"/>
      <c r="D22" s="47"/>
      <c r="E22" s="47"/>
      <c r="F22" s="47"/>
      <c r="G22" s="45"/>
      <c r="H22" s="46"/>
      <c r="J22" s="47"/>
      <c r="L22" s="47"/>
    </row>
    <row r="23" spans="1:13" x14ac:dyDescent="0.25">
      <c r="A23" s="38" t="s">
        <v>20</v>
      </c>
      <c r="B23" s="47"/>
      <c r="C23" s="47"/>
      <c r="D23" s="47"/>
      <c r="E23" s="47"/>
      <c r="F23" s="47"/>
      <c r="G23" s="45"/>
      <c r="H23" s="46"/>
      <c r="J23" s="47"/>
      <c r="L23" s="47"/>
    </row>
    <row r="24" spans="1:13" x14ac:dyDescent="0.25">
      <c r="A24" s="38" t="s">
        <v>137</v>
      </c>
      <c r="B24" s="47">
        <v>-12366.43</v>
      </c>
      <c r="C24" s="47"/>
      <c r="D24" s="47">
        <v>-11131.87</v>
      </c>
      <c r="E24" s="47"/>
      <c r="F24" s="47">
        <v>-1234.56</v>
      </c>
      <c r="G24" s="45"/>
      <c r="H24" s="46">
        <v>-0.1109</v>
      </c>
      <c r="J24" s="47">
        <v>0</v>
      </c>
      <c r="L24" s="47">
        <v>-14000</v>
      </c>
    </row>
    <row r="25" spans="1:13" ht="15.75" thickBot="1" x14ac:dyDescent="0.3">
      <c r="A25" s="38" t="s">
        <v>138</v>
      </c>
      <c r="B25" s="48">
        <v>25682.86</v>
      </c>
      <c r="C25" s="47"/>
      <c r="D25" s="48">
        <v>23556.31</v>
      </c>
      <c r="E25" s="47"/>
      <c r="F25" s="48">
        <v>2126.5500000000002</v>
      </c>
      <c r="G25" s="45"/>
      <c r="H25" s="49">
        <v>9.0279999999999999E-2</v>
      </c>
      <c r="J25" s="48">
        <v>15000</v>
      </c>
      <c r="L25" s="48">
        <v>28000</v>
      </c>
    </row>
    <row r="26" spans="1:13" x14ac:dyDescent="0.25">
      <c r="A26" s="38" t="s">
        <v>23</v>
      </c>
      <c r="B26" s="47">
        <f>SUM(B24:B25)</f>
        <v>13316.43</v>
      </c>
      <c r="C26" s="47"/>
      <c r="D26" s="47">
        <v>12424.44</v>
      </c>
      <c r="E26" s="47"/>
      <c r="F26" s="47">
        <v>891.99</v>
      </c>
      <c r="G26" s="45"/>
      <c r="H26" s="46">
        <v>7.1790000000000007E-2</v>
      </c>
      <c r="J26" s="47">
        <f>SUM(J24:J25)</f>
        <v>15000</v>
      </c>
      <c r="L26" s="47">
        <f>SUM(L24:L25)</f>
        <v>14000</v>
      </c>
    </row>
    <row r="27" spans="1:13" x14ac:dyDescent="0.25">
      <c r="A27" s="38" t="s">
        <v>24</v>
      </c>
      <c r="B27" s="47"/>
      <c r="C27" s="47"/>
      <c r="D27" s="47"/>
      <c r="E27" s="47"/>
      <c r="F27" s="47"/>
      <c r="G27" s="45"/>
      <c r="H27" s="46"/>
      <c r="J27" s="47"/>
      <c r="L27" s="47"/>
    </row>
    <row r="28" spans="1:13" x14ac:dyDescent="0.25">
      <c r="A28" s="38" t="s">
        <v>139</v>
      </c>
      <c r="B28" s="47">
        <v>0</v>
      </c>
      <c r="C28" s="47"/>
      <c r="D28" s="47">
        <v>-337.57</v>
      </c>
      <c r="E28" s="47"/>
      <c r="F28" s="47">
        <v>337.57</v>
      </c>
      <c r="G28" s="45"/>
      <c r="H28" s="46">
        <v>1</v>
      </c>
      <c r="J28" s="47">
        <v>0</v>
      </c>
      <c r="L28" s="47">
        <v>-400</v>
      </c>
    </row>
    <row r="29" spans="1:13" ht="15.75" thickBot="1" x14ac:dyDescent="0.3">
      <c r="A29" s="38" t="s">
        <v>140</v>
      </c>
      <c r="B29" s="48">
        <v>788.5</v>
      </c>
      <c r="C29" s="47"/>
      <c r="D29" s="48">
        <v>1102.57</v>
      </c>
      <c r="E29" s="47"/>
      <c r="F29" s="48">
        <v>-314.07</v>
      </c>
      <c r="G29" s="45"/>
      <c r="H29" s="49">
        <v>-0.28484999999999999</v>
      </c>
      <c r="J29" s="48">
        <v>0</v>
      </c>
      <c r="L29" s="48">
        <v>900</v>
      </c>
    </row>
    <row r="30" spans="1:13" x14ac:dyDescent="0.25">
      <c r="A30" s="38" t="s">
        <v>27</v>
      </c>
      <c r="B30" s="47">
        <v>788.5</v>
      </c>
      <c r="C30" s="47"/>
      <c r="D30" s="47">
        <v>765</v>
      </c>
      <c r="E30" s="47"/>
      <c r="F30" s="47">
        <v>23.5</v>
      </c>
      <c r="G30" s="45"/>
      <c r="H30" s="46">
        <v>3.0720000000000001E-2</v>
      </c>
      <c r="J30" s="47">
        <v>0</v>
      </c>
      <c r="L30" s="47">
        <f>SUM(L28:L29)</f>
        <v>500</v>
      </c>
    </row>
    <row r="31" spans="1:13" ht="15.75" thickBot="1" x14ac:dyDescent="0.3">
      <c r="A31" s="38" t="s">
        <v>28</v>
      </c>
      <c r="B31" s="48">
        <v>496.51</v>
      </c>
      <c r="C31" s="47"/>
      <c r="D31" s="48">
        <v>0</v>
      </c>
      <c r="E31" s="47"/>
      <c r="F31" s="48">
        <v>496.51</v>
      </c>
      <c r="G31" s="45"/>
      <c r="H31" s="49">
        <v>1</v>
      </c>
      <c r="J31" s="48">
        <v>0</v>
      </c>
      <c r="L31" s="48"/>
    </row>
    <row r="32" spans="1:13" x14ac:dyDescent="0.25">
      <c r="A32" s="38" t="s">
        <v>29</v>
      </c>
      <c r="B32" s="47">
        <f>B31+B30+B26</f>
        <v>14601.44</v>
      </c>
      <c r="C32" s="47"/>
      <c r="D32" s="47">
        <v>13189.44</v>
      </c>
      <c r="E32" s="47"/>
      <c r="F32" s="47">
        <v>1412</v>
      </c>
      <c r="G32" s="45"/>
      <c r="H32" s="46">
        <v>0.10706</v>
      </c>
      <c r="J32" s="47">
        <f>J31+J30+J26</f>
        <v>15000</v>
      </c>
      <c r="L32" s="47">
        <f>L26+L30</f>
        <v>14500</v>
      </c>
    </row>
    <row r="33" spans="1:12" x14ac:dyDescent="0.25">
      <c r="A33" s="38" t="s">
        <v>30</v>
      </c>
      <c r="B33" s="47"/>
      <c r="C33" s="47"/>
      <c r="D33" s="47"/>
      <c r="E33" s="47"/>
      <c r="F33" s="47"/>
      <c r="G33" s="45"/>
      <c r="H33" s="46"/>
      <c r="J33" s="47"/>
      <c r="L33" s="47"/>
    </row>
    <row r="34" spans="1:12" x14ac:dyDescent="0.25">
      <c r="A34" s="38" t="s">
        <v>31</v>
      </c>
      <c r="B34" s="47"/>
      <c r="C34" s="47"/>
      <c r="D34" s="47"/>
      <c r="E34" s="47"/>
      <c r="F34" s="47"/>
      <c r="G34" s="45"/>
      <c r="H34" s="46"/>
      <c r="J34" s="47"/>
      <c r="L34" s="47"/>
    </row>
    <row r="35" spans="1:12" x14ac:dyDescent="0.25">
      <c r="A35" s="38" t="s">
        <v>141</v>
      </c>
      <c r="B35" s="47">
        <v>-450</v>
      </c>
      <c r="C35" s="47"/>
      <c r="D35" s="47">
        <v>-612.5</v>
      </c>
      <c r="E35" s="47"/>
      <c r="F35" s="47">
        <v>162.5</v>
      </c>
      <c r="G35" s="45"/>
      <c r="H35" s="46">
        <v>0.26530999999999999</v>
      </c>
      <c r="J35" s="47">
        <v>0</v>
      </c>
      <c r="L35" s="47">
        <v>-500</v>
      </c>
    </row>
    <row r="36" spans="1:12" x14ac:dyDescent="0.25">
      <c r="A36" s="38" t="s">
        <v>142</v>
      </c>
      <c r="B36" s="47">
        <v>-1698.72</v>
      </c>
      <c r="C36" s="47"/>
      <c r="D36" s="47">
        <v>-375</v>
      </c>
      <c r="E36" s="47"/>
      <c r="F36" s="47">
        <v>-1323.72</v>
      </c>
      <c r="G36" s="45"/>
      <c r="H36" s="46">
        <v>-3.5299200000000002</v>
      </c>
      <c r="J36" s="47">
        <v>0</v>
      </c>
      <c r="L36" s="47">
        <v>-2000</v>
      </c>
    </row>
    <row r="37" spans="1:12" ht="15.75" thickBot="1" x14ac:dyDescent="0.3">
      <c r="A37" s="38" t="s">
        <v>143</v>
      </c>
      <c r="B37" s="48">
        <v>-2082.35</v>
      </c>
      <c r="C37" s="47"/>
      <c r="D37" s="48">
        <v>-5279.75</v>
      </c>
      <c r="E37" s="47"/>
      <c r="F37" s="48">
        <v>1836.9</v>
      </c>
      <c r="G37" s="45"/>
      <c r="H37" s="49">
        <v>0.34791</v>
      </c>
      <c r="J37" s="48">
        <v>0</v>
      </c>
      <c r="L37" s="48">
        <v>-2000</v>
      </c>
    </row>
    <row r="38" spans="1:12" x14ac:dyDescent="0.25">
      <c r="A38" s="38" t="s">
        <v>35</v>
      </c>
      <c r="B38" s="47">
        <f>SUM(B35:B37)</f>
        <v>-4231.07</v>
      </c>
      <c r="C38" s="47"/>
      <c r="D38" s="47">
        <v>-6267.25</v>
      </c>
      <c r="E38" s="47"/>
      <c r="F38" s="47">
        <v>675.68</v>
      </c>
      <c r="G38" s="45"/>
      <c r="H38" s="46">
        <v>0.10781</v>
      </c>
      <c r="J38" s="47">
        <f>SUM(J35:J37)</f>
        <v>0</v>
      </c>
      <c r="L38" s="47">
        <f>SUM(L35:L37)</f>
        <v>-4500</v>
      </c>
    </row>
    <row r="39" spans="1:12" x14ac:dyDescent="0.25">
      <c r="A39" s="38" t="s">
        <v>36</v>
      </c>
      <c r="B39" s="47"/>
      <c r="C39" s="47"/>
      <c r="D39" s="47"/>
      <c r="E39" s="47"/>
      <c r="F39" s="47"/>
      <c r="G39" s="45"/>
      <c r="H39" s="46"/>
      <c r="J39" s="47"/>
      <c r="L39" s="47"/>
    </row>
    <row r="40" spans="1:12" x14ac:dyDescent="0.25">
      <c r="A40" s="38" t="s">
        <v>144</v>
      </c>
      <c r="B40" s="47">
        <v>0</v>
      </c>
      <c r="C40" s="47"/>
      <c r="D40" s="47">
        <v>220.5</v>
      </c>
      <c r="E40" s="47"/>
      <c r="F40" s="47">
        <v>-220.5</v>
      </c>
      <c r="G40" s="45"/>
      <c r="H40" s="46">
        <v>-1</v>
      </c>
      <c r="J40" s="47">
        <v>0</v>
      </c>
      <c r="L40" s="47">
        <v>0</v>
      </c>
    </row>
    <row r="41" spans="1:12" x14ac:dyDescent="0.25">
      <c r="A41" s="38" t="s">
        <v>141</v>
      </c>
      <c r="B41" s="47">
        <v>4400</v>
      </c>
      <c r="C41" s="47"/>
      <c r="D41" s="47">
        <v>6895</v>
      </c>
      <c r="E41" s="47"/>
      <c r="F41" s="47">
        <v>-2495</v>
      </c>
      <c r="G41" s="45"/>
      <c r="H41" s="46">
        <v>-0.36186000000000001</v>
      </c>
      <c r="J41" s="47">
        <v>0</v>
      </c>
      <c r="L41" s="47">
        <v>4500</v>
      </c>
    </row>
    <row r="42" spans="1:12" x14ac:dyDescent="0.25">
      <c r="A42" s="38" t="s">
        <v>145</v>
      </c>
      <c r="B42" s="47">
        <v>461</v>
      </c>
      <c r="C42" s="47"/>
      <c r="D42" s="47">
        <v>459</v>
      </c>
      <c r="E42" s="47"/>
      <c r="F42" s="47">
        <v>2</v>
      </c>
      <c r="G42" s="45"/>
      <c r="H42" s="46">
        <v>4.3600000000000002E-3</v>
      </c>
      <c r="J42" s="47">
        <v>0</v>
      </c>
      <c r="L42" s="47">
        <v>500</v>
      </c>
    </row>
    <row r="43" spans="1:12" x14ac:dyDescent="0.25">
      <c r="A43" s="38" t="s">
        <v>142</v>
      </c>
      <c r="B43" s="47">
        <v>5761.2</v>
      </c>
      <c r="C43" s="47"/>
      <c r="D43" s="47">
        <v>4171.5200000000004</v>
      </c>
      <c r="E43" s="47"/>
      <c r="F43" s="47">
        <v>1679.68</v>
      </c>
      <c r="G43" s="45"/>
      <c r="H43" s="46">
        <v>0.40265000000000001</v>
      </c>
      <c r="J43" s="47">
        <v>0</v>
      </c>
      <c r="L43" s="47">
        <v>5500</v>
      </c>
    </row>
    <row r="44" spans="1:12" ht="15.75" thickBot="1" x14ac:dyDescent="0.3">
      <c r="A44" s="38" t="s">
        <v>146</v>
      </c>
      <c r="B44" s="48">
        <v>0</v>
      </c>
      <c r="C44" s="47"/>
      <c r="D44" s="48">
        <v>26</v>
      </c>
      <c r="E44" s="47"/>
      <c r="F44" s="48">
        <v>-26</v>
      </c>
      <c r="G44" s="45"/>
      <c r="H44" s="49">
        <v>-1</v>
      </c>
      <c r="J44" s="48">
        <v>0</v>
      </c>
      <c r="L44" s="48">
        <v>0</v>
      </c>
    </row>
    <row r="45" spans="1:12" x14ac:dyDescent="0.25">
      <c r="A45" s="38" t="s">
        <v>40</v>
      </c>
      <c r="B45" s="47">
        <f>SUM(B40:B44)</f>
        <v>10622.2</v>
      </c>
      <c r="C45" s="47"/>
      <c r="D45" s="47">
        <v>11772.02</v>
      </c>
      <c r="E45" s="47"/>
      <c r="F45" s="47">
        <v>-1059.82</v>
      </c>
      <c r="G45" s="45"/>
      <c r="H45" s="46">
        <v>-9.0029999999999999E-2</v>
      </c>
      <c r="J45" s="47">
        <f>SUM(J40:J44)</f>
        <v>0</v>
      </c>
      <c r="L45" s="47">
        <f>SUM(L40:L44)</f>
        <v>10500</v>
      </c>
    </row>
    <row r="46" spans="1:12" ht="15.75" thickBot="1" x14ac:dyDescent="0.3">
      <c r="A46" s="38" t="s">
        <v>41</v>
      </c>
      <c r="B46" s="50">
        <f>566.5-1247.99</f>
        <v>-681.49</v>
      </c>
      <c r="C46" s="47"/>
      <c r="D46" s="50">
        <v>0</v>
      </c>
      <c r="E46" s="47"/>
      <c r="F46" s="50">
        <v>220.5</v>
      </c>
      <c r="G46" s="45"/>
      <c r="H46" s="51">
        <v>1</v>
      </c>
      <c r="J46" s="50">
        <v>0</v>
      </c>
      <c r="L46" s="50">
        <v>0</v>
      </c>
    </row>
    <row r="47" spans="1:12" ht="15.75" thickBot="1" x14ac:dyDescent="0.3">
      <c r="A47" s="38" t="s">
        <v>42</v>
      </c>
      <c r="B47" s="52">
        <f>B46+B45+B38</f>
        <v>5709.6400000000012</v>
      </c>
      <c r="C47" s="47"/>
      <c r="D47" s="52">
        <v>5504.77</v>
      </c>
      <c r="E47" s="47"/>
      <c r="F47" s="52">
        <v>-163.63999999999999</v>
      </c>
      <c r="G47" s="45"/>
      <c r="H47" s="53">
        <v>-2.9729999999999999E-2</v>
      </c>
      <c r="J47" s="52">
        <f>J46+J45+J38</f>
        <v>0</v>
      </c>
      <c r="L47" s="52">
        <f>L46+L45+L38</f>
        <v>6000</v>
      </c>
    </row>
    <row r="48" spans="1:12" x14ac:dyDescent="0.25">
      <c r="A48" s="38" t="s">
        <v>43</v>
      </c>
      <c r="B48" s="47">
        <f>B47+B32+B21</f>
        <v>15987.380000000001</v>
      </c>
      <c r="C48" s="47"/>
      <c r="D48" s="47">
        <v>16698.52</v>
      </c>
      <c r="E48" s="47"/>
      <c r="F48" s="47">
        <v>2676.09</v>
      </c>
      <c r="G48" s="45"/>
      <c r="H48" s="46">
        <v>0.16026000000000001</v>
      </c>
      <c r="J48" s="47">
        <f>J47+J32+J21</f>
        <v>15000</v>
      </c>
      <c r="L48" s="47">
        <f>L47+L32+L21</f>
        <v>20000</v>
      </c>
    </row>
    <row r="49" spans="1:12" hidden="1" x14ac:dyDescent="0.25">
      <c r="A49" s="38" t="s">
        <v>44</v>
      </c>
      <c r="B49" s="47"/>
      <c r="C49" s="47"/>
      <c r="D49" s="47"/>
      <c r="E49" s="47"/>
      <c r="F49" s="47"/>
      <c r="G49" s="45"/>
      <c r="H49" s="46"/>
      <c r="J49" s="47"/>
      <c r="L49" s="47"/>
    </row>
    <row r="50" spans="1:12" ht="15.75" hidden="1" thickBot="1" x14ac:dyDescent="0.3">
      <c r="A50" s="38" t="s">
        <v>134</v>
      </c>
      <c r="B50" s="48">
        <v>1910.56</v>
      </c>
      <c r="C50" s="47"/>
      <c r="D50" s="48">
        <v>4116.96</v>
      </c>
      <c r="E50" s="47"/>
      <c r="F50" s="48">
        <v>-2206.4</v>
      </c>
      <c r="G50" s="45"/>
      <c r="H50" s="49">
        <v>-0.53593000000000002</v>
      </c>
      <c r="J50" s="48">
        <v>4000</v>
      </c>
      <c r="L50" s="48">
        <v>1500</v>
      </c>
    </row>
    <row r="51" spans="1:12" x14ac:dyDescent="0.25">
      <c r="A51" s="38" t="s">
        <v>44</v>
      </c>
      <c r="B51" s="47">
        <v>1910.56</v>
      </c>
      <c r="C51" s="47"/>
      <c r="D51" s="47">
        <v>4116.96</v>
      </c>
      <c r="E51" s="47"/>
      <c r="F51" s="47">
        <v>-2206.4</v>
      </c>
      <c r="G51" s="45"/>
      <c r="H51" s="46">
        <v>-0.53593000000000002</v>
      </c>
      <c r="J51" s="47">
        <f>SUM(J50)</f>
        <v>4000</v>
      </c>
      <c r="L51" s="47">
        <f>SUM(L50)</f>
        <v>1500</v>
      </c>
    </row>
    <row r="52" spans="1:12" hidden="1" x14ac:dyDescent="0.25">
      <c r="A52" s="38" t="s">
        <v>46</v>
      </c>
      <c r="B52" s="47"/>
      <c r="C52" s="47"/>
      <c r="D52" s="47"/>
      <c r="E52" s="47"/>
      <c r="F52" s="47"/>
      <c r="G52" s="45"/>
      <c r="H52" s="46"/>
      <c r="J52" s="47"/>
      <c r="L52" s="47"/>
    </row>
    <row r="53" spans="1:12" ht="15.75" hidden="1" thickBot="1" x14ac:dyDescent="0.3">
      <c r="A53" s="38" t="s">
        <v>134</v>
      </c>
      <c r="B53" s="48">
        <v>1322</v>
      </c>
      <c r="C53" s="47"/>
      <c r="D53" s="48">
        <v>1752</v>
      </c>
      <c r="E53" s="47"/>
      <c r="F53" s="48">
        <v>-430</v>
      </c>
      <c r="G53" s="45"/>
      <c r="H53" s="49">
        <v>-0.24543000000000001</v>
      </c>
      <c r="J53" s="48">
        <v>1750</v>
      </c>
      <c r="L53" s="48">
        <v>1250</v>
      </c>
    </row>
    <row r="54" spans="1:12" x14ac:dyDescent="0.25">
      <c r="A54" s="38" t="s">
        <v>46</v>
      </c>
      <c r="B54" s="47">
        <v>1322</v>
      </c>
      <c r="C54" s="47"/>
      <c r="D54" s="47">
        <v>1752</v>
      </c>
      <c r="E54" s="47"/>
      <c r="F54" s="47">
        <v>-430</v>
      </c>
      <c r="G54" s="45"/>
      <c r="H54" s="46">
        <v>-0.24543000000000001</v>
      </c>
      <c r="J54" s="47">
        <f>SUM(J53)</f>
        <v>1750</v>
      </c>
      <c r="L54" s="47">
        <f>SUM(L53)</f>
        <v>1250</v>
      </c>
    </row>
    <row r="55" spans="1:12" x14ac:dyDescent="0.25">
      <c r="A55" s="38" t="s">
        <v>48</v>
      </c>
      <c r="B55" s="47">
        <v>0</v>
      </c>
      <c r="C55" s="47"/>
      <c r="D55" s="47">
        <v>0</v>
      </c>
      <c r="E55" s="47"/>
      <c r="F55" s="47">
        <v>2000</v>
      </c>
      <c r="G55" s="45"/>
      <c r="H55" s="46">
        <v>1</v>
      </c>
      <c r="J55" s="47">
        <v>0</v>
      </c>
      <c r="L55" s="47">
        <v>0</v>
      </c>
    </row>
    <row r="56" spans="1:12" x14ac:dyDescent="0.25">
      <c r="A56" s="38" t="s">
        <v>49</v>
      </c>
      <c r="B56" s="47"/>
      <c r="C56" s="47"/>
      <c r="D56" s="47"/>
      <c r="E56" s="47"/>
      <c r="F56" s="47"/>
      <c r="G56" s="45"/>
      <c r="H56" s="46"/>
      <c r="J56" s="47"/>
      <c r="L56" s="47"/>
    </row>
    <row r="57" spans="1:12" x14ac:dyDescent="0.25">
      <c r="A57" s="38" t="s">
        <v>133</v>
      </c>
      <c r="B57" s="47">
        <v>-24309.19</v>
      </c>
      <c r="C57" s="47"/>
      <c r="D57" s="47">
        <v>-20750.849999999999</v>
      </c>
      <c r="E57" s="47"/>
      <c r="F57" s="47">
        <v>-3558.34</v>
      </c>
      <c r="G57" s="45"/>
      <c r="H57" s="46">
        <v>-0.17147999999999999</v>
      </c>
      <c r="J57" s="47">
        <v>-24000</v>
      </c>
      <c r="L57" s="47">
        <v>-24000</v>
      </c>
    </row>
    <row r="58" spans="1:12" ht="15.75" thickBot="1" x14ac:dyDescent="0.3">
      <c r="A58" s="38" t="s">
        <v>134</v>
      </c>
      <c r="B58" s="48">
        <v>31328.57</v>
      </c>
      <c r="C58" s="47"/>
      <c r="D58" s="48">
        <v>27147.74</v>
      </c>
      <c r="E58" s="47"/>
      <c r="F58" s="48">
        <v>1684.23</v>
      </c>
      <c r="G58" s="45"/>
      <c r="H58" s="49">
        <v>6.2039999999999998E-2</v>
      </c>
      <c r="J58" s="48">
        <v>29000</v>
      </c>
      <c r="L58" s="48">
        <v>29000</v>
      </c>
    </row>
    <row r="59" spans="1:12" x14ac:dyDescent="0.25">
      <c r="A59" s="38" t="s">
        <v>50</v>
      </c>
      <c r="B59" s="47">
        <v>7019.38</v>
      </c>
      <c r="C59" s="47"/>
      <c r="D59" s="47">
        <v>6396.89</v>
      </c>
      <c r="E59" s="47"/>
      <c r="F59" s="47">
        <v>-1874.11</v>
      </c>
      <c r="G59" s="45"/>
      <c r="H59" s="46">
        <v>-0.29297000000000001</v>
      </c>
      <c r="J59" s="47">
        <f>SUM(J57:J58)</f>
        <v>5000</v>
      </c>
      <c r="L59" s="47">
        <f>SUM(L57:L58)</f>
        <v>5000</v>
      </c>
    </row>
    <row r="60" spans="1:12" x14ac:dyDescent="0.25">
      <c r="A60" s="38" t="s">
        <v>51</v>
      </c>
      <c r="B60" s="47"/>
      <c r="C60" s="47"/>
      <c r="D60" s="47"/>
      <c r="E60" s="47"/>
      <c r="F60" s="47"/>
      <c r="G60" s="45"/>
      <c r="H60" s="46"/>
      <c r="J60" s="47"/>
      <c r="L60" s="47"/>
    </row>
    <row r="61" spans="1:12" x14ac:dyDescent="0.25">
      <c r="A61" s="38" t="s">
        <v>133</v>
      </c>
      <c r="B61" s="47">
        <v>-36</v>
      </c>
      <c r="C61" s="47"/>
      <c r="D61" s="47">
        <v>-270</v>
      </c>
      <c r="E61" s="47"/>
      <c r="F61" s="47">
        <v>234</v>
      </c>
      <c r="G61" s="45"/>
      <c r="H61" s="46">
        <v>0.86667000000000005</v>
      </c>
      <c r="J61" s="47"/>
      <c r="L61" s="47"/>
    </row>
    <row r="62" spans="1:12" ht="15.75" thickBot="1" x14ac:dyDescent="0.3">
      <c r="A62" s="38" t="s">
        <v>134</v>
      </c>
      <c r="B62" s="50">
        <v>100</v>
      </c>
      <c r="C62" s="47"/>
      <c r="D62" s="50">
        <v>205</v>
      </c>
      <c r="E62" s="47"/>
      <c r="F62" s="50">
        <v>-205</v>
      </c>
      <c r="G62" s="45"/>
      <c r="H62" s="51">
        <v>-1</v>
      </c>
      <c r="J62" s="50">
        <v>200</v>
      </c>
      <c r="L62" s="50"/>
    </row>
    <row r="63" spans="1:12" ht="15.75" thickBot="1" x14ac:dyDescent="0.3">
      <c r="A63" s="38" t="s">
        <v>52</v>
      </c>
      <c r="B63" s="52">
        <v>64</v>
      </c>
      <c r="C63" s="47"/>
      <c r="D63" s="52">
        <v>-65</v>
      </c>
      <c r="E63" s="47"/>
      <c r="F63" s="52">
        <v>29</v>
      </c>
      <c r="G63" s="45"/>
      <c r="H63" s="53">
        <v>0.44614999999999999</v>
      </c>
      <c r="J63" s="52">
        <f>SUM(J61:J62)</f>
        <v>200</v>
      </c>
      <c r="L63" s="52">
        <f>SUM(L61:L62)</f>
        <v>0</v>
      </c>
    </row>
    <row r="64" spans="1:12" x14ac:dyDescent="0.25">
      <c r="A64" s="47"/>
      <c r="B64" s="47">
        <f>B63+B59+B54+B51+B48+B17+B8+B10+B11+B18+B19</f>
        <v>60945.96</v>
      </c>
      <c r="C64" s="47"/>
      <c r="D64" s="47">
        <v>67827.66</v>
      </c>
      <c r="E64" s="47"/>
      <c r="F64" s="47">
        <v>-6175.13</v>
      </c>
      <c r="G64" s="45"/>
      <c r="H64" s="46">
        <v>-9.1039999999999996E-2</v>
      </c>
      <c r="J64" s="47">
        <f>J63+J59+J54+J51+J48+J17+J8+J10</f>
        <v>60950</v>
      </c>
      <c r="L64" s="47">
        <f>L63+L59+L54+L51+L48+L17+L8+L10+L18</f>
        <v>62750</v>
      </c>
    </row>
    <row r="65" spans="1:13" x14ac:dyDescent="0.25">
      <c r="A65" s="38"/>
      <c r="B65" s="47"/>
      <c r="C65" s="47"/>
      <c r="D65" s="47"/>
      <c r="E65" s="47"/>
      <c r="F65" s="47"/>
      <c r="G65" s="45"/>
      <c r="H65" s="46"/>
      <c r="J65" s="47"/>
      <c r="L65" s="47"/>
    </row>
    <row r="66" spans="1:13" x14ac:dyDescent="0.25">
      <c r="A66" s="38" t="s">
        <v>54</v>
      </c>
      <c r="B66" s="47"/>
      <c r="C66" s="47"/>
      <c r="D66" s="47"/>
      <c r="E66" s="47"/>
      <c r="F66" s="47"/>
      <c r="G66" s="45"/>
      <c r="H66" s="46"/>
      <c r="J66" s="47"/>
      <c r="L66" s="47"/>
    </row>
    <row r="67" spans="1:13" x14ac:dyDescent="0.25">
      <c r="A67" s="38" t="s">
        <v>118</v>
      </c>
      <c r="B67" s="47">
        <v>1200</v>
      </c>
      <c r="C67" s="47"/>
      <c r="D67" s="47">
        <v>1200</v>
      </c>
      <c r="E67" s="47"/>
      <c r="F67" s="47">
        <v>0</v>
      </c>
      <c r="G67" s="45"/>
      <c r="H67" s="46">
        <v>0</v>
      </c>
      <c r="J67" s="47">
        <v>1300</v>
      </c>
      <c r="L67" s="47">
        <v>1200</v>
      </c>
    </row>
    <row r="68" spans="1:13" x14ac:dyDescent="0.25">
      <c r="A68" s="38" t="s">
        <v>119</v>
      </c>
      <c r="B68" s="47">
        <v>997.11</v>
      </c>
      <c r="C68" s="47"/>
      <c r="D68" s="47">
        <v>1198.94</v>
      </c>
      <c r="E68" s="47"/>
      <c r="F68" s="47">
        <v>-321.83</v>
      </c>
      <c r="G68" s="45"/>
      <c r="H68" s="46">
        <v>-0.26843</v>
      </c>
      <c r="J68" s="47">
        <v>1500</v>
      </c>
      <c r="L68" s="47">
        <v>1200</v>
      </c>
    </row>
    <row r="69" spans="1:13" x14ac:dyDescent="0.25">
      <c r="A69" s="38" t="s">
        <v>120</v>
      </c>
      <c r="B69" s="47">
        <v>147.5</v>
      </c>
      <c r="C69" s="47"/>
      <c r="D69" s="47">
        <v>26.71</v>
      </c>
      <c r="E69" s="47"/>
      <c r="F69" s="47">
        <v>45.79</v>
      </c>
      <c r="G69" s="45"/>
      <c r="H69" s="46">
        <v>1.71434</v>
      </c>
      <c r="J69" s="47"/>
      <c r="L69" s="47">
        <v>100</v>
      </c>
    </row>
    <row r="70" spans="1:13" x14ac:dyDescent="0.25">
      <c r="A70" s="38" t="s">
        <v>121</v>
      </c>
      <c r="B70" s="47">
        <v>0</v>
      </c>
      <c r="C70" s="47"/>
      <c r="D70" s="47">
        <v>471.6</v>
      </c>
      <c r="E70" s="47"/>
      <c r="F70" s="47">
        <v>-471.6</v>
      </c>
      <c r="G70" s="45"/>
      <c r="H70" s="46">
        <v>-1</v>
      </c>
      <c r="J70" s="47">
        <v>500</v>
      </c>
      <c r="L70" s="47">
        <v>0</v>
      </c>
    </row>
    <row r="71" spans="1:13" x14ac:dyDescent="0.25">
      <c r="A71" s="38" t="s">
        <v>122</v>
      </c>
      <c r="B71" s="47">
        <v>590</v>
      </c>
      <c r="C71" s="47"/>
      <c r="D71" s="47">
        <v>590</v>
      </c>
      <c r="E71" s="47"/>
      <c r="F71" s="47">
        <v>0</v>
      </c>
      <c r="G71" s="45"/>
      <c r="H71" s="46">
        <v>0</v>
      </c>
      <c r="J71" s="47">
        <v>750</v>
      </c>
      <c r="L71" s="47">
        <v>750</v>
      </c>
    </row>
    <row r="72" spans="1:13" x14ac:dyDescent="0.25">
      <c r="A72" s="38" t="s">
        <v>123</v>
      </c>
      <c r="B72" s="47">
        <v>15</v>
      </c>
      <c r="C72" s="47"/>
      <c r="D72" s="47">
        <v>25</v>
      </c>
      <c r="E72" s="47"/>
      <c r="F72" s="47">
        <v>-10</v>
      </c>
      <c r="G72" s="45"/>
      <c r="H72" s="46">
        <v>-0.4</v>
      </c>
      <c r="J72" s="47">
        <v>50</v>
      </c>
      <c r="L72" s="47">
        <v>50</v>
      </c>
    </row>
    <row r="73" spans="1:13" ht="15.75" thickBot="1" x14ac:dyDescent="0.3">
      <c r="A73" s="38" t="s">
        <v>124</v>
      </c>
      <c r="B73" s="48">
        <v>17.48</v>
      </c>
      <c r="C73" s="47"/>
      <c r="D73" s="48">
        <v>0</v>
      </c>
      <c r="E73" s="47"/>
      <c r="F73" s="48">
        <v>7.48</v>
      </c>
      <c r="G73" s="45"/>
      <c r="H73" s="49">
        <v>1</v>
      </c>
      <c r="J73" s="48"/>
      <c r="L73" s="48">
        <v>0</v>
      </c>
    </row>
    <row r="74" spans="1:13" x14ac:dyDescent="0.25">
      <c r="A74" s="38" t="s">
        <v>125</v>
      </c>
      <c r="B74" s="47">
        <f>SUM(B67:B73)</f>
        <v>2967.09</v>
      </c>
      <c r="C74" s="47"/>
      <c r="D74" s="47">
        <v>3512.25</v>
      </c>
      <c r="E74" s="47"/>
      <c r="F74" s="47">
        <v>-750.16</v>
      </c>
      <c r="G74" s="45"/>
      <c r="H74" s="46">
        <v>-0.21357999999999999</v>
      </c>
      <c r="J74" s="47">
        <f>SUM(J67:J73)</f>
        <v>4100</v>
      </c>
      <c r="L74" s="47">
        <f>SUM(L67:L73)</f>
        <v>3300</v>
      </c>
    </row>
    <row r="75" spans="1:13" x14ac:dyDescent="0.25">
      <c r="A75" s="38" t="s">
        <v>55</v>
      </c>
      <c r="B75" s="47">
        <v>35426.639999999999</v>
      </c>
      <c r="C75" s="47"/>
      <c r="D75" s="47">
        <v>31802.32</v>
      </c>
      <c r="E75" s="47"/>
      <c r="F75" s="47">
        <v>-2848.27</v>
      </c>
      <c r="G75" s="45"/>
      <c r="H75" s="46">
        <v>-8.9560000000000001E-2</v>
      </c>
      <c r="J75" s="47">
        <v>55000</v>
      </c>
      <c r="L75" s="47">
        <v>40000</v>
      </c>
      <c r="M75" s="39" t="s">
        <v>131</v>
      </c>
    </row>
    <row r="76" spans="1:13" x14ac:dyDescent="0.25">
      <c r="A76" s="38" t="s">
        <v>56</v>
      </c>
      <c r="B76" s="47">
        <v>564.5</v>
      </c>
      <c r="C76" s="47"/>
      <c r="D76" s="47">
        <v>1950.66</v>
      </c>
      <c r="E76" s="47"/>
      <c r="F76" s="47">
        <v>-1386.16</v>
      </c>
      <c r="G76" s="45"/>
      <c r="H76" s="46">
        <v>-0.71060999999999996</v>
      </c>
      <c r="J76" s="47">
        <v>2000</v>
      </c>
      <c r="L76" s="47">
        <v>1000</v>
      </c>
    </row>
    <row r="77" spans="1:13" x14ac:dyDescent="0.25">
      <c r="A77" s="38" t="s">
        <v>57</v>
      </c>
      <c r="B77" s="47">
        <v>2700</v>
      </c>
      <c r="C77" s="47"/>
      <c r="D77" s="47">
        <v>2562.9299999999998</v>
      </c>
      <c r="E77" s="47"/>
      <c r="F77" s="47">
        <v>-2562.9299999999998</v>
      </c>
      <c r="G77" s="45"/>
      <c r="H77" s="46">
        <v>-1</v>
      </c>
      <c r="J77" s="47">
        <v>2500</v>
      </c>
      <c r="L77" s="47">
        <v>2600</v>
      </c>
    </row>
    <row r="78" spans="1:13" x14ac:dyDescent="0.25">
      <c r="A78" s="38" t="s">
        <v>58</v>
      </c>
      <c r="B78" s="47">
        <v>5000</v>
      </c>
      <c r="C78" s="47"/>
      <c r="D78" s="47">
        <v>5000</v>
      </c>
      <c r="E78" s="47"/>
      <c r="F78" s="47">
        <v>0</v>
      </c>
      <c r="G78" s="45"/>
      <c r="H78" s="46">
        <v>0</v>
      </c>
      <c r="J78" s="47">
        <v>5000</v>
      </c>
      <c r="L78" s="47">
        <v>5000</v>
      </c>
    </row>
    <row r="79" spans="1:13" x14ac:dyDescent="0.25">
      <c r="A79" s="38" t="s">
        <v>59</v>
      </c>
      <c r="B79" s="47"/>
      <c r="C79" s="47"/>
      <c r="D79" s="47"/>
      <c r="E79" s="47"/>
      <c r="F79" s="47"/>
      <c r="G79" s="45"/>
      <c r="H79" s="46"/>
      <c r="J79" s="47"/>
      <c r="L79" s="47"/>
    </row>
    <row r="80" spans="1:13" x14ac:dyDescent="0.25">
      <c r="A80" s="38" t="s">
        <v>126</v>
      </c>
      <c r="B80" s="47">
        <v>218.61</v>
      </c>
      <c r="C80" s="47"/>
      <c r="D80" s="47">
        <v>216.81</v>
      </c>
      <c r="E80" s="47"/>
      <c r="F80" s="47">
        <v>-216.81</v>
      </c>
      <c r="G80" s="45"/>
      <c r="H80" s="46">
        <v>-1</v>
      </c>
      <c r="J80" s="47">
        <v>250</v>
      </c>
      <c r="L80" s="47">
        <v>450</v>
      </c>
    </row>
    <row r="81" spans="1:14" x14ac:dyDescent="0.25">
      <c r="A81" s="38" t="s">
        <v>147</v>
      </c>
      <c r="B81" s="47">
        <v>-870.01</v>
      </c>
      <c r="C81" s="47"/>
      <c r="D81" s="47">
        <v>-1093.47</v>
      </c>
      <c r="E81" s="47"/>
      <c r="F81" s="47">
        <v>223.46</v>
      </c>
      <c r="G81" s="45"/>
      <c r="H81" s="46">
        <v>0.20436000000000001</v>
      </c>
      <c r="J81" s="47"/>
      <c r="L81" s="47">
        <v>350</v>
      </c>
      <c r="M81" s="39" t="s">
        <v>148</v>
      </c>
    </row>
    <row r="82" spans="1:14" ht="15.75" thickBot="1" x14ac:dyDescent="0.3">
      <c r="A82" s="38" t="s">
        <v>127</v>
      </c>
      <c r="B82" s="48">
        <v>0</v>
      </c>
      <c r="C82" s="47"/>
      <c r="D82" s="48">
        <v>0</v>
      </c>
      <c r="E82" s="47"/>
      <c r="F82" s="48">
        <v>218.61</v>
      </c>
      <c r="G82" s="45"/>
      <c r="H82" s="49">
        <v>1</v>
      </c>
      <c r="J82" s="48">
        <v>200</v>
      </c>
      <c r="L82" s="48">
        <v>0</v>
      </c>
    </row>
    <row r="83" spans="1:14" x14ac:dyDescent="0.25">
      <c r="A83" s="38" t="s">
        <v>61</v>
      </c>
      <c r="B83" s="47">
        <v>-651.4</v>
      </c>
      <c r="C83" s="47"/>
      <c r="D83" s="47">
        <v>-876.66</v>
      </c>
      <c r="E83" s="47"/>
      <c r="F83" s="47">
        <v>225.26</v>
      </c>
      <c r="G83" s="45"/>
      <c r="H83" s="46">
        <v>0.25695000000000001</v>
      </c>
      <c r="J83" s="47">
        <f>SUM(J80:J82)</f>
        <v>450</v>
      </c>
      <c r="L83" s="47">
        <f>SUM(L80:L82)</f>
        <v>800</v>
      </c>
    </row>
    <row r="84" spans="1:14" x14ac:dyDescent="0.25">
      <c r="A84" s="38" t="s">
        <v>62</v>
      </c>
      <c r="B84" s="47">
        <v>10000</v>
      </c>
      <c r="C84" s="47"/>
      <c r="D84" s="47">
        <v>5000</v>
      </c>
      <c r="E84" s="47"/>
      <c r="F84" s="47">
        <v>5000</v>
      </c>
      <c r="G84" s="45"/>
      <c r="H84" s="46">
        <v>1</v>
      </c>
      <c r="J84" s="47">
        <v>10000</v>
      </c>
      <c r="L84" s="47">
        <v>0</v>
      </c>
      <c r="M84" s="39" t="s">
        <v>132</v>
      </c>
    </row>
    <row r="85" spans="1:14" x14ac:dyDescent="0.25">
      <c r="A85" s="38" t="s">
        <v>63</v>
      </c>
      <c r="B85" s="47"/>
      <c r="C85" s="47"/>
      <c r="D85" s="47"/>
      <c r="E85" s="47"/>
      <c r="F85" s="47"/>
      <c r="G85" s="45"/>
      <c r="H85" s="46"/>
      <c r="J85" s="47"/>
      <c r="L85" s="47"/>
    </row>
    <row r="86" spans="1:14" x14ac:dyDescent="0.25">
      <c r="A86" s="38" t="s">
        <v>64</v>
      </c>
      <c r="B86" s="47">
        <v>2159.85</v>
      </c>
      <c r="C86" s="47"/>
      <c r="D86" s="47">
        <v>1782.04</v>
      </c>
      <c r="E86" s="47"/>
      <c r="F86" s="47">
        <v>377.81</v>
      </c>
      <c r="G86" s="45"/>
      <c r="H86" s="46">
        <v>0.21201</v>
      </c>
      <c r="J86" s="47">
        <v>2000</v>
      </c>
      <c r="L86" s="47">
        <v>2300</v>
      </c>
      <c r="M86" s="39" t="s">
        <v>149</v>
      </c>
    </row>
    <row r="87" spans="1:14" x14ac:dyDescent="0.25">
      <c r="A87" s="38" t="s">
        <v>65</v>
      </c>
      <c r="B87" s="47">
        <v>3000</v>
      </c>
      <c r="C87" s="47"/>
      <c r="D87" s="47">
        <v>3000</v>
      </c>
      <c r="E87" s="47"/>
      <c r="F87" s="47">
        <v>0</v>
      </c>
      <c r="G87" s="45"/>
      <c r="H87" s="46">
        <v>0</v>
      </c>
      <c r="J87" s="47">
        <v>3000</v>
      </c>
      <c r="L87" s="47">
        <v>3000</v>
      </c>
    </row>
    <row r="88" spans="1:14" ht="15.75" thickBot="1" x14ac:dyDescent="0.3">
      <c r="A88" s="38" t="s">
        <v>66</v>
      </c>
      <c r="B88" s="48">
        <v>1255.42</v>
      </c>
      <c r="C88" s="47"/>
      <c r="D88" s="48">
        <v>1752.94</v>
      </c>
      <c r="E88" s="47"/>
      <c r="F88" s="48">
        <v>-497.52</v>
      </c>
      <c r="G88" s="45"/>
      <c r="H88" s="49">
        <v>-0.28382000000000002</v>
      </c>
      <c r="J88" s="48">
        <v>1800</v>
      </c>
      <c r="L88" s="48">
        <v>1500</v>
      </c>
      <c r="M88" s="39" t="s">
        <v>150</v>
      </c>
    </row>
    <row r="89" spans="1:14" x14ac:dyDescent="0.25">
      <c r="A89" s="38" t="s">
        <v>67</v>
      </c>
      <c r="B89" s="47">
        <v>6415.27</v>
      </c>
      <c r="C89" s="47"/>
      <c r="D89" s="47">
        <v>6534.98</v>
      </c>
      <c r="E89" s="47"/>
      <c r="F89" s="47">
        <v>-119.71</v>
      </c>
      <c r="G89" s="45"/>
      <c r="H89" s="46">
        <v>-1.8319999999999999E-2</v>
      </c>
      <c r="J89" s="47">
        <f>SUM(J86:J88)</f>
        <v>6800</v>
      </c>
      <c r="L89" s="47">
        <f>SUM(L86:L88)</f>
        <v>6800</v>
      </c>
    </row>
    <row r="90" spans="1:14" ht="15.75" thickBot="1" x14ac:dyDescent="0.3">
      <c r="A90" s="38" t="s">
        <v>68</v>
      </c>
      <c r="B90" s="50">
        <v>1300</v>
      </c>
      <c r="C90" s="47"/>
      <c r="D90" s="50">
        <v>1457.46</v>
      </c>
      <c r="E90" s="47"/>
      <c r="F90" s="50">
        <v>-157.46</v>
      </c>
      <c r="G90" s="45"/>
      <c r="H90" s="51">
        <v>-0.10804</v>
      </c>
      <c r="J90" s="54">
        <v>5000</v>
      </c>
      <c r="L90" s="50">
        <v>3000</v>
      </c>
      <c r="M90" s="39" t="s">
        <v>151</v>
      </c>
    </row>
    <row r="91" spans="1:14" ht="15.75" thickBot="1" x14ac:dyDescent="0.3">
      <c r="A91" s="38"/>
      <c r="B91" s="55">
        <f>B90+B89+B84+B83+B78+B77+B76+B75+B74</f>
        <v>63722.099999999991</v>
      </c>
      <c r="C91" s="47"/>
      <c r="D91" s="55">
        <v>56943.94</v>
      </c>
      <c r="E91" s="47"/>
      <c r="F91" s="55">
        <v>-2599.4299999999998</v>
      </c>
      <c r="G91" s="45"/>
      <c r="H91" s="56">
        <v>-4.5650000000000003E-2</v>
      </c>
      <c r="J91" s="55">
        <f>J90+J89+J84+J83+J78+J77+J76+J75+J74</f>
        <v>90850</v>
      </c>
      <c r="L91" s="55">
        <f>L90+L89+L84+L83+L78+L77+L76+L75+L74</f>
        <v>62500</v>
      </c>
    </row>
    <row r="92" spans="1:14" ht="15.75" thickBot="1" x14ac:dyDescent="0.3">
      <c r="A92" s="38"/>
      <c r="B92" s="57">
        <f>B64-B91</f>
        <v>-2776.1399999999921</v>
      </c>
      <c r="C92" s="58"/>
      <c r="D92" s="57">
        <v>10883.72</v>
      </c>
      <c r="E92" s="58"/>
      <c r="F92" s="57">
        <v>-3575.7</v>
      </c>
      <c r="G92" s="38"/>
      <c r="H92" s="59">
        <v>-0.32854</v>
      </c>
      <c r="J92" s="57">
        <f>J64-J91</f>
        <v>-29900</v>
      </c>
      <c r="L92" s="57">
        <f>L64-L91</f>
        <v>250</v>
      </c>
    </row>
    <row r="93" spans="1:14" ht="15.75" thickTop="1" x14ac:dyDescent="0.25">
      <c r="B93" s="60"/>
      <c r="C93" s="60"/>
      <c r="D93" s="60"/>
      <c r="E93" s="60"/>
      <c r="F93" s="60"/>
      <c r="J93" s="60"/>
      <c r="L93" s="60"/>
    </row>
    <row r="94" spans="1:14" ht="18.75" x14ac:dyDescent="0.3">
      <c r="A94" s="28" t="s">
        <v>93</v>
      </c>
      <c r="B94" s="30"/>
      <c r="C94" s="28"/>
      <c r="D94" s="29"/>
      <c r="E94" s="61"/>
      <c r="F94" s="60"/>
      <c r="J94" s="60"/>
      <c r="K94" s="64"/>
      <c r="L94" s="64"/>
      <c r="M94" s="64"/>
      <c r="N94" s="65"/>
    </row>
    <row r="95" spans="1:14" ht="18.75" x14ac:dyDescent="0.3">
      <c r="A95" s="25" t="s">
        <v>94</v>
      </c>
      <c r="B95" s="24">
        <v>62333.120000000003</v>
      </c>
      <c r="C95" s="25"/>
      <c r="D95" s="27"/>
      <c r="E95" s="62"/>
      <c r="K95" s="66"/>
      <c r="L95" s="66"/>
      <c r="M95" s="66"/>
      <c r="N95" s="68"/>
    </row>
    <row r="96" spans="1:14" ht="18.75" x14ac:dyDescent="0.3">
      <c r="A96" s="25" t="s">
        <v>95</v>
      </c>
      <c r="B96" s="24">
        <f>B92</f>
        <v>-2776.1399999999921</v>
      </c>
      <c r="C96" s="25"/>
      <c r="D96" s="7"/>
      <c r="E96" s="62"/>
      <c r="K96" s="66"/>
      <c r="L96" s="66"/>
      <c r="M96" s="66"/>
      <c r="N96" s="68"/>
    </row>
    <row r="97" spans="1:14" ht="18.75" x14ac:dyDescent="0.3">
      <c r="A97" s="27" t="s">
        <v>154</v>
      </c>
      <c r="B97" s="24">
        <f>B95+B96</f>
        <v>59556.98000000001</v>
      </c>
      <c r="C97" s="25"/>
      <c r="D97" s="7"/>
      <c r="E97" s="62"/>
      <c r="K97" s="67"/>
      <c r="L97" s="66"/>
      <c r="M97" s="66"/>
      <c r="N97" s="68"/>
    </row>
    <row r="98" spans="1:14" ht="15.75" x14ac:dyDescent="0.25">
      <c r="A98" s="3"/>
      <c r="B98" s="31">
        <f>B95+B96-B97</f>
        <v>0</v>
      </c>
      <c r="C98" s="3"/>
      <c r="D98" s="1"/>
      <c r="E98" s="63"/>
      <c r="K98" s="69"/>
      <c r="L98" s="69"/>
      <c r="M98" s="69"/>
      <c r="N98" s="70"/>
    </row>
  </sheetData>
  <mergeCells count="1">
    <mergeCell ref="B1:H1"/>
  </mergeCells>
  <pageMargins left="0.25" right="0.25" top="0.75" bottom="0.75" header="0.3" footer="0.3"/>
  <pageSetup scale="96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P88"/>
  <sheetViews>
    <sheetView topLeftCell="A58" workbookViewId="0"/>
  </sheetViews>
  <sheetFormatPr defaultColWidth="8.85546875" defaultRowHeight="15.75" x14ac:dyDescent="0.25"/>
  <cols>
    <col min="1" max="5" width="3" style="2" customWidth="1"/>
    <col min="6" max="6" width="49.42578125" style="2" customWidth="1"/>
    <col min="7" max="7" width="12.5703125" style="3" customWidth="1"/>
    <col min="8" max="8" width="2.42578125" style="3" customWidth="1"/>
    <col min="9" max="9" width="12.42578125" style="3" customWidth="1"/>
    <col min="10" max="10" width="2.42578125" style="3" customWidth="1"/>
    <col min="11" max="11" width="12.85546875" style="3" customWidth="1"/>
    <col min="12" max="12" width="2.42578125" style="3" customWidth="1"/>
    <col min="13" max="13" width="12.85546875" style="3" hidden="1" customWidth="1"/>
    <col min="14" max="14" width="4.85546875" style="1" customWidth="1"/>
    <col min="15" max="15" width="19.42578125" style="3" customWidth="1"/>
    <col min="16" max="16" width="79.140625" style="1" bestFit="1" customWidth="1"/>
    <col min="17" max="16384" width="8.85546875" style="1"/>
  </cols>
  <sheetData>
    <row r="1" spans="1:16" s="7" customFormat="1" ht="19.5" thickBot="1" x14ac:dyDescent="0.35">
      <c r="A1" s="4"/>
      <c r="B1" s="4"/>
      <c r="C1" s="4"/>
      <c r="D1" s="4"/>
      <c r="E1" s="4"/>
      <c r="F1" s="4"/>
      <c r="G1" s="5"/>
      <c r="H1" s="6"/>
      <c r="I1" s="5"/>
      <c r="J1" s="6"/>
      <c r="K1" s="5"/>
      <c r="L1" s="6"/>
      <c r="M1" s="5"/>
      <c r="O1" s="5"/>
    </row>
    <row r="2" spans="1:16" s="35" customFormat="1" ht="45.6" customHeight="1" thickTop="1" thickBot="1" x14ac:dyDescent="0.3">
      <c r="A2" s="32"/>
      <c r="B2" s="32"/>
      <c r="C2" s="32"/>
      <c r="D2" s="32"/>
      <c r="E2" s="32"/>
      <c r="F2" s="32"/>
      <c r="G2" s="33" t="s">
        <v>0</v>
      </c>
      <c r="H2" s="34"/>
      <c r="I2" s="33" t="s">
        <v>1</v>
      </c>
      <c r="J2" s="34"/>
      <c r="K2" s="33" t="s">
        <v>2</v>
      </c>
      <c r="L2" s="34"/>
      <c r="M2" s="33" t="s">
        <v>3</v>
      </c>
      <c r="O2" s="33" t="s">
        <v>72</v>
      </c>
      <c r="P2" s="36" t="s">
        <v>73</v>
      </c>
    </row>
    <row r="3" spans="1:16" s="7" customFormat="1" ht="19.5" thickTop="1" x14ac:dyDescent="0.3">
      <c r="A3" s="4"/>
      <c r="B3" s="4" t="s">
        <v>4</v>
      </c>
      <c r="C3" s="4"/>
      <c r="D3" s="4"/>
      <c r="E3" s="4"/>
      <c r="F3" s="4"/>
      <c r="G3" s="8"/>
      <c r="H3" s="8"/>
      <c r="I3" s="8"/>
      <c r="J3" s="8"/>
      <c r="K3" s="8"/>
      <c r="L3" s="9"/>
      <c r="M3" s="10"/>
      <c r="O3" s="8"/>
    </row>
    <row r="4" spans="1:16" s="7" customFormat="1" ht="18.75" hidden="1" x14ac:dyDescent="0.3">
      <c r="A4" s="4"/>
      <c r="B4" s="4"/>
      <c r="C4" s="4" t="s">
        <v>5</v>
      </c>
      <c r="D4" s="4"/>
      <c r="E4" s="4"/>
      <c r="F4" s="4"/>
      <c r="G4" s="8"/>
      <c r="H4" s="8"/>
      <c r="I4" s="8"/>
      <c r="J4" s="8"/>
      <c r="K4" s="8"/>
      <c r="L4" s="9"/>
      <c r="M4" s="10"/>
      <c r="O4" s="8"/>
    </row>
    <row r="5" spans="1:16" s="7" customFormat="1" ht="18.75" hidden="1" x14ac:dyDescent="0.3">
      <c r="A5" s="4"/>
      <c r="B5" s="4"/>
      <c r="C5" s="4"/>
      <c r="D5" s="4" t="s">
        <v>6</v>
      </c>
      <c r="E5" s="4"/>
      <c r="F5" s="4"/>
      <c r="G5" s="8">
        <v>-1020.79</v>
      </c>
      <c r="H5" s="8"/>
      <c r="I5" s="8">
        <v>-1034.24</v>
      </c>
      <c r="J5" s="8"/>
      <c r="K5" s="8">
        <f t="shared" ref="K5:K10" si="0">ROUND((G5-I5),5)</f>
        <v>13.45</v>
      </c>
      <c r="L5" s="9"/>
      <c r="M5" s="10">
        <f t="shared" ref="M5:M10" si="1">ROUND(IF(G5=0, IF(I5=0, 0, SIGN(-I5)), IF(I5=0, SIGN(G5), (G5-I5)/ABS(I5))),5)</f>
        <v>1.2999999999999999E-2</v>
      </c>
      <c r="O5" s="8"/>
    </row>
    <row r="6" spans="1:16" s="7" customFormat="1" ht="19.5" hidden="1" thickBot="1" x14ac:dyDescent="0.35">
      <c r="A6" s="4"/>
      <c r="B6" s="4"/>
      <c r="C6" s="4"/>
      <c r="D6" s="4" t="s">
        <v>4</v>
      </c>
      <c r="E6" s="4"/>
      <c r="F6" s="4"/>
      <c r="G6" s="11">
        <f>10000+600</f>
        <v>10600</v>
      </c>
      <c r="H6" s="8"/>
      <c r="I6" s="11">
        <v>7823</v>
      </c>
      <c r="J6" s="8"/>
      <c r="K6" s="11">
        <f t="shared" si="0"/>
        <v>2777</v>
      </c>
      <c r="L6" s="9"/>
      <c r="M6" s="12">
        <f t="shared" si="1"/>
        <v>0.35498000000000002</v>
      </c>
      <c r="O6" s="11"/>
    </row>
    <row r="7" spans="1:16" s="7" customFormat="1" ht="23.1" customHeight="1" x14ac:dyDescent="0.3">
      <c r="A7" s="4"/>
      <c r="B7" s="4"/>
      <c r="C7" s="4" t="s">
        <v>7</v>
      </c>
      <c r="D7" s="4"/>
      <c r="E7" s="4"/>
      <c r="F7" s="4"/>
      <c r="G7" s="8">
        <v>9354.2099999999991</v>
      </c>
      <c r="H7" s="8"/>
      <c r="I7" s="8">
        <f>ROUND(SUM(I4:I6),5)</f>
        <v>6788.76</v>
      </c>
      <c r="J7" s="8"/>
      <c r="K7" s="8">
        <f t="shared" si="0"/>
        <v>2565.4499999999998</v>
      </c>
      <c r="L7" s="9"/>
      <c r="M7" s="10">
        <f t="shared" si="1"/>
        <v>0.37790000000000001</v>
      </c>
      <c r="O7" s="8">
        <v>10000</v>
      </c>
    </row>
    <row r="8" spans="1:16" s="7" customFormat="1" ht="23.1" customHeight="1" x14ac:dyDescent="0.3">
      <c r="A8" s="4"/>
      <c r="B8" s="4"/>
      <c r="C8" s="4" t="s">
        <v>8</v>
      </c>
      <c r="D8" s="4"/>
      <c r="E8" s="4"/>
      <c r="F8" s="4"/>
      <c r="G8" s="8">
        <v>0</v>
      </c>
      <c r="H8" s="8"/>
      <c r="I8" s="8">
        <v>3508.57</v>
      </c>
      <c r="J8" s="8"/>
      <c r="K8" s="8">
        <f t="shared" si="0"/>
        <v>-3508.57</v>
      </c>
      <c r="L8" s="9"/>
      <c r="M8" s="10">
        <f t="shared" si="1"/>
        <v>-1</v>
      </c>
      <c r="O8" s="8">
        <v>0</v>
      </c>
    </row>
    <row r="9" spans="1:16" s="7" customFormat="1" ht="23.1" customHeight="1" x14ac:dyDescent="0.3">
      <c r="A9" s="4"/>
      <c r="B9" s="4"/>
      <c r="C9" s="4" t="s">
        <v>9</v>
      </c>
      <c r="D9" s="4"/>
      <c r="E9" s="4"/>
      <c r="F9" s="4"/>
      <c r="G9" s="8">
        <v>0</v>
      </c>
      <c r="H9" s="8"/>
      <c r="I9" s="8">
        <v>8260.84</v>
      </c>
      <c r="J9" s="8"/>
      <c r="K9" s="37">
        <f t="shared" si="0"/>
        <v>-8260.84</v>
      </c>
      <c r="L9" s="9"/>
      <c r="M9" s="10">
        <f t="shared" si="1"/>
        <v>-1</v>
      </c>
      <c r="O9" s="8">
        <v>10000</v>
      </c>
      <c r="P9" s="7" t="s">
        <v>75</v>
      </c>
    </row>
    <row r="10" spans="1:16" s="7" customFormat="1" ht="23.1" customHeight="1" x14ac:dyDescent="0.3">
      <c r="A10" s="4"/>
      <c r="B10" s="4"/>
      <c r="C10" s="4" t="s">
        <v>10</v>
      </c>
      <c r="D10" s="4"/>
      <c r="E10" s="4"/>
      <c r="F10" s="4"/>
      <c r="G10" s="8">
        <v>23.23</v>
      </c>
      <c r="H10" s="8"/>
      <c r="I10" s="8">
        <v>29.02</v>
      </c>
      <c r="J10" s="8"/>
      <c r="K10" s="8">
        <f t="shared" si="0"/>
        <v>-5.79</v>
      </c>
      <c r="L10" s="9"/>
      <c r="M10" s="10">
        <f t="shared" si="1"/>
        <v>-0.19952</v>
      </c>
      <c r="O10" s="8"/>
    </row>
    <row r="11" spans="1:16" s="7" customFormat="1" ht="23.1" hidden="1" customHeight="1" x14ac:dyDescent="0.3">
      <c r="A11" s="4"/>
      <c r="B11" s="4"/>
      <c r="C11" s="4" t="s">
        <v>11</v>
      </c>
      <c r="D11" s="4"/>
      <c r="E11" s="4"/>
      <c r="F11" s="4"/>
      <c r="G11" s="8"/>
      <c r="H11" s="8"/>
      <c r="I11" s="8"/>
      <c r="J11" s="8"/>
      <c r="K11" s="8"/>
      <c r="L11" s="9"/>
      <c r="M11" s="10"/>
      <c r="O11" s="8"/>
    </row>
    <row r="12" spans="1:16" s="7" customFormat="1" ht="23.1" hidden="1" customHeight="1" x14ac:dyDescent="0.3">
      <c r="A12" s="4"/>
      <c r="B12" s="4"/>
      <c r="C12" s="4"/>
      <c r="D12" s="4" t="s">
        <v>6</v>
      </c>
      <c r="E12" s="4"/>
      <c r="F12" s="4"/>
      <c r="G12" s="8">
        <v>0</v>
      </c>
      <c r="H12" s="8"/>
      <c r="I12" s="8">
        <v>-485.32</v>
      </c>
      <c r="J12" s="8"/>
      <c r="K12" s="8">
        <f t="shared" ref="K12:K18" si="2">ROUND((G12-I12),5)</f>
        <v>485.32</v>
      </c>
      <c r="L12" s="9"/>
      <c r="M12" s="10">
        <f t="shared" ref="M12:M18" si="3">ROUND(IF(G12=0, IF(I12=0, 0, SIGN(-I12)), IF(I12=0, SIGN(G12), (G12-I12)/ABS(I12))),5)</f>
        <v>1</v>
      </c>
      <c r="O12" s="8">
        <v>0</v>
      </c>
    </row>
    <row r="13" spans="1:16" s="7" customFormat="1" ht="23.1" hidden="1" customHeight="1" x14ac:dyDescent="0.3">
      <c r="A13" s="4"/>
      <c r="B13" s="4"/>
      <c r="C13" s="4"/>
      <c r="D13" s="4" t="s">
        <v>4</v>
      </c>
      <c r="E13" s="4"/>
      <c r="F13" s="4"/>
      <c r="G13" s="8">
        <v>16804.240000000002</v>
      </c>
      <c r="H13" s="8"/>
      <c r="I13" s="8">
        <v>29767.93</v>
      </c>
      <c r="J13" s="8"/>
      <c r="K13" s="8">
        <f t="shared" si="2"/>
        <v>-12963.69</v>
      </c>
      <c r="L13" s="9"/>
      <c r="M13" s="10">
        <f t="shared" si="3"/>
        <v>-0.43548999999999999</v>
      </c>
      <c r="O13" s="8">
        <v>15000</v>
      </c>
    </row>
    <row r="14" spans="1:16" s="7" customFormat="1" ht="23.1" hidden="1" customHeight="1" x14ac:dyDescent="0.3">
      <c r="A14" s="4"/>
      <c r="B14" s="4"/>
      <c r="C14" s="4"/>
      <c r="D14" s="4" t="s">
        <v>12</v>
      </c>
      <c r="E14" s="4"/>
      <c r="F14" s="4"/>
      <c r="G14" s="8">
        <v>-9347.5499999999993</v>
      </c>
      <c r="H14" s="8"/>
      <c r="I14" s="8">
        <v>-10441.51</v>
      </c>
      <c r="J14" s="8"/>
      <c r="K14" s="8">
        <f t="shared" si="2"/>
        <v>1093.96</v>
      </c>
      <c r="L14" s="9"/>
      <c r="M14" s="10">
        <f t="shared" si="3"/>
        <v>0.10477</v>
      </c>
      <c r="O14" s="8">
        <v>0</v>
      </c>
    </row>
    <row r="15" spans="1:16" s="7" customFormat="1" ht="23.1" hidden="1" customHeight="1" thickBot="1" x14ac:dyDescent="0.35">
      <c r="A15" s="4"/>
      <c r="B15" s="4"/>
      <c r="C15" s="4"/>
      <c r="D15" s="4" t="s">
        <v>13</v>
      </c>
      <c r="E15" s="4"/>
      <c r="F15" s="4"/>
      <c r="G15" s="11">
        <v>10870</v>
      </c>
      <c r="H15" s="8"/>
      <c r="I15" s="11">
        <v>0</v>
      </c>
      <c r="J15" s="8"/>
      <c r="K15" s="11">
        <f t="shared" si="2"/>
        <v>10870</v>
      </c>
      <c r="L15" s="9"/>
      <c r="M15" s="12">
        <f t="shared" si="3"/>
        <v>1</v>
      </c>
      <c r="O15" s="11">
        <v>0</v>
      </c>
    </row>
    <row r="16" spans="1:16" s="7" customFormat="1" ht="23.1" customHeight="1" x14ac:dyDescent="0.3">
      <c r="A16" s="4"/>
      <c r="B16" s="4"/>
      <c r="C16" s="4" t="s">
        <v>14</v>
      </c>
      <c r="D16" s="4"/>
      <c r="E16" s="4"/>
      <c r="F16" s="4"/>
      <c r="G16" s="8">
        <f>ROUND(SUM(G11:G15),5)</f>
        <v>18326.689999999999</v>
      </c>
      <c r="H16" s="8"/>
      <c r="I16" s="8">
        <f>ROUND(SUM(I11:I15),5)</f>
        <v>18841.099999999999</v>
      </c>
      <c r="J16" s="8"/>
      <c r="K16" s="8">
        <f t="shared" si="2"/>
        <v>-514.41</v>
      </c>
      <c r="L16" s="9"/>
      <c r="M16" s="10">
        <f t="shared" si="3"/>
        <v>-2.7300000000000001E-2</v>
      </c>
      <c r="O16" s="8">
        <f>ROUND(SUM(O11:O15),5)</f>
        <v>15000</v>
      </c>
    </row>
    <row r="17" spans="1:16" s="7" customFormat="1" ht="23.1" customHeight="1" x14ac:dyDescent="0.3">
      <c r="A17" s="4"/>
      <c r="B17" s="4"/>
      <c r="C17" s="4" t="s">
        <v>15</v>
      </c>
      <c r="D17" s="4"/>
      <c r="E17" s="4"/>
      <c r="F17" s="4"/>
      <c r="G17" s="8">
        <v>4201.25</v>
      </c>
      <c r="H17" s="8"/>
      <c r="I17" s="8">
        <v>1250</v>
      </c>
      <c r="J17" s="8"/>
      <c r="K17" s="8">
        <f t="shared" si="2"/>
        <v>2951.25</v>
      </c>
      <c r="L17" s="9"/>
      <c r="M17" s="10">
        <f t="shared" si="3"/>
        <v>2.3610000000000002</v>
      </c>
      <c r="O17" s="8"/>
      <c r="P17" s="7" t="s">
        <v>110</v>
      </c>
    </row>
    <row r="18" spans="1:16" s="7" customFormat="1" ht="23.1" customHeight="1" x14ac:dyDescent="0.3">
      <c r="A18" s="4"/>
      <c r="B18" s="4"/>
      <c r="C18" s="4" t="s">
        <v>16</v>
      </c>
      <c r="D18" s="4"/>
      <c r="E18" s="4"/>
      <c r="F18" s="4"/>
      <c r="G18" s="8">
        <v>500</v>
      </c>
      <c r="H18" s="8"/>
      <c r="I18" s="8">
        <v>250</v>
      </c>
      <c r="J18" s="8"/>
      <c r="K18" s="8">
        <f t="shared" si="2"/>
        <v>250</v>
      </c>
      <c r="L18" s="9"/>
      <c r="M18" s="10">
        <f t="shared" si="3"/>
        <v>1</v>
      </c>
      <c r="O18" s="8"/>
      <c r="P18" s="7" t="s">
        <v>78</v>
      </c>
    </row>
    <row r="19" spans="1:16" s="7" customFormat="1" ht="23.1" hidden="1" customHeight="1" x14ac:dyDescent="0.3">
      <c r="A19" s="4"/>
      <c r="B19" s="4"/>
      <c r="C19" s="4" t="s">
        <v>17</v>
      </c>
      <c r="D19" s="4"/>
      <c r="E19" s="4"/>
      <c r="F19" s="4"/>
      <c r="G19" s="8"/>
      <c r="H19" s="8"/>
      <c r="I19" s="8"/>
      <c r="J19" s="8"/>
      <c r="K19" s="8"/>
      <c r="L19" s="9"/>
      <c r="M19" s="10"/>
      <c r="O19" s="8"/>
    </row>
    <row r="20" spans="1:16" s="7" customFormat="1" ht="23.1" hidden="1" customHeight="1" x14ac:dyDescent="0.3">
      <c r="A20" s="4"/>
      <c r="B20" s="4"/>
      <c r="C20" s="4"/>
      <c r="D20" s="4" t="s">
        <v>18</v>
      </c>
      <c r="E20" s="4"/>
      <c r="F20" s="4"/>
      <c r="G20" s="8">
        <v>-418</v>
      </c>
      <c r="H20" s="8"/>
      <c r="I20" s="8">
        <v>-1995.69</v>
      </c>
      <c r="J20" s="8"/>
      <c r="K20" s="8">
        <f>ROUND((G20-I20),5)</f>
        <v>1577.69</v>
      </c>
      <c r="L20" s="9"/>
      <c r="M20" s="10">
        <f>ROUND(IF(G20=0, IF(I20=0, 0, SIGN(-I20)), IF(I20=0, SIGN(G20), (G20-I20)/ABS(I20))),5)</f>
        <v>0.79054999999999997</v>
      </c>
      <c r="O20" s="8">
        <v>15000</v>
      </c>
      <c r="P20" s="7" t="s">
        <v>79</v>
      </c>
    </row>
    <row r="21" spans="1:16" s="7" customFormat="1" ht="23.1" hidden="1" customHeight="1" x14ac:dyDescent="0.3">
      <c r="A21" s="4"/>
      <c r="B21" s="4"/>
      <c r="C21" s="4"/>
      <c r="D21" s="4" t="s">
        <v>19</v>
      </c>
      <c r="E21" s="4"/>
      <c r="F21" s="4"/>
      <c r="G21" s="8"/>
      <c r="H21" s="8"/>
      <c r="I21" s="8"/>
      <c r="J21" s="8"/>
      <c r="K21" s="8"/>
      <c r="L21" s="9"/>
      <c r="M21" s="10"/>
      <c r="O21" s="8"/>
    </row>
    <row r="22" spans="1:16" s="7" customFormat="1" ht="23.1" hidden="1" customHeight="1" x14ac:dyDescent="0.3">
      <c r="A22" s="4"/>
      <c r="B22" s="4"/>
      <c r="C22" s="4"/>
      <c r="D22" s="4"/>
      <c r="E22" s="4" t="s">
        <v>20</v>
      </c>
      <c r="F22" s="4"/>
      <c r="G22" s="8"/>
      <c r="H22" s="8"/>
      <c r="I22" s="8"/>
      <c r="J22" s="8"/>
      <c r="K22" s="8"/>
      <c r="L22" s="9"/>
      <c r="M22" s="10"/>
      <c r="O22" s="8"/>
    </row>
    <row r="23" spans="1:16" s="7" customFormat="1" ht="23.1" hidden="1" customHeight="1" x14ac:dyDescent="0.3">
      <c r="A23" s="4"/>
      <c r="B23" s="4"/>
      <c r="C23" s="4"/>
      <c r="D23" s="4"/>
      <c r="E23" s="4"/>
      <c r="F23" s="4" t="s">
        <v>21</v>
      </c>
      <c r="G23" s="8">
        <v>-12366.43</v>
      </c>
      <c r="H23" s="8"/>
      <c r="I23" s="8">
        <v>-11131.87</v>
      </c>
      <c r="J23" s="8"/>
      <c r="K23" s="8">
        <f>ROUND((G23-I23),5)</f>
        <v>-1234.56</v>
      </c>
      <c r="L23" s="9"/>
      <c r="M23" s="10">
        <f>ROUND(IF(G23=0, IF(I23=0, 0, SIGN(-I23)), IF(I23=0, SIGN(G23), (G23-I23)/ABS(I23))),5)</f>
        <v>-0.1109</v>
      </c>
      <c r="O23" s="8"/>
    </row>
    <row r="24" spans="1:16" s="7" customFormat="1" ht="23.1" hidden="1" customHeight="1" thickBot="1" x14ac:dyDescent="0.35">
      <c r="A24" s="4"/>
      <c r="B24" s="4"/>
      <c r="C24" s="4"/>
      <c r="D24" s="4"/>
      <c r="E24" s="4"/>
      <c r="F24" s="4" t="s">
        <v>22</v>
      </c>
      <c r="G24" s="11">
        <v>25682.86</v>
      </c>
      <c r="H24" s="8"/>
      <c r="I24" s="11">
        <v>23556.31</v>
      </c>
      <c r="J24" s="8"/>
      <c r="K24" s="11">
        <f>ROUND((G24-I24),5)</f>
        <v>2126.5500000000002</v>
      </c>
      <c r="L24" s="9"/>
      <c r="M24" s="12">
        <f>ROUND(IF(G24=0, IF(I24=0, 0, SIGN(-I24)), IF(I24=0, SIGN(G24), (G24-I24)/ABS(I24))),5)</f>
        <v>9.0279999999999999E-2</v>
      </c>
      <c r="O24" s="11"/>
    </row>
    <row r="25" spans="1:16" s="7" customFormat="1" ht="23.1" hidden="1" customHeight="1" x14ac:dyDescent="0.3">
      <c r="A25" s="4"/>
      <c r="B25" s="4"/>
      <c r="C25" s="4"/>
      <c r="D25" s="4"/>
      <c r="E25" s="4" t="s">
        <v>23</v>
      </c>
      <c r="F25" s="4"/>
      <c r="G25" s="8">
        <f>ROUND(SUM(G22:G24),5)</f>
        <v>13316.43</v>
      </c>
      <c r="H25" s="8"/>
      <c r="I25" s="8">
        <f>ROUND(SUM(I22:I24),5)</f>
        <v>12424.44</v>
      </c>
      <c r="J25" s="8"/>
      <c r="K25" s="8">
        <f>ROUND((G25-I25),5)</f>
        <v>891.99</v>
      </c>
      <c r="L25" s="9"/>
      <c r="M25" s="10">
        <f>ROUND(IF(G25=0, IF(I25=0, 0, SIGN(-I25)), IF(I25=0, SIGN(G25), (G25-I25)/ABS(I25))),5)</f>
        <v>7.1790000000000007E-2</v>
      </c>
      <c r="O25" s="8">
        <f>ROUND(SUM(O22:O24),5)</f>
        <v>0</v>
      </c>
    </row>
    <row r="26" spans="1:16" s="7" customFormat="1" ht="23.1" hidden="1" customHeight="1" x14ac:dyDescent="0.3">
      <c r="A26" s="4"/>
      <c r="B26" s="4"/>
      <c r="C26" s="4"/>
      <c r="D26" s="4"/>
      <c r="E26" s="4" t="s">
        <v>24</v>
      </c>
      <c r="F26" s="4"/>
      <c r="G26" s="8"/>
      <c r="H26" s="8"/>
      <c r="I26" s="8"/>
      <c r="J26" s="8"/>
      <c r="K26" s="8"/>
      <c r="L26" s="9"/>
      <c r="M26" s="10"/>
      <c r="O26" s="8"/>
    </row>
    <row r="27" spans="1:16" s="7" customFormat="1" ht="23.1" hidden="1" customHeight="1" x14ac:dyDescent="0.3">
      <c r="A27" s="4"/>
      <c r="B27" s="4"/>
      <c r="C27" s="4"/>
      <c r="D27" s="4"/>
      <c r="E27" s="4"/>
      <c r="F27" s="4" t="s">
        <v>25</v>
      </c>
      <c r="G27" s="8">
        <v>0</v>
      </c>
      <c r="H27" s="8"/>
      <c r="I27" s="8">
        <v>-337.57</v>
      </c>
      <c r="J27" s="8"/>
      <c r="K27" s="8">
        <f>ROUND((G27-I27),5)</f>
        <v>337.57</v>
      </c>
      <c r="L27" s="9"/>
      <c r="M27" s="10">
        <f>ROUND(IF(G27=0, IF(I27=0, 0, SIGN(-I27)), IF(I27=0, SIGN(G27), (G27-I27)/ABS(I27))),5)</f>
        <v>1</v>
      </c>
      <c r="O27" s="8">
        <v>0</v>
      </c>
    </row>
    <row r="28" spans="1:16" s="7" customFormat="1" ht="23.1" hidden="1" customHeight="1" thickBot="1" x14ac:dyDescent="0.35">
      <c r="A28" s="4"/>
      <c r="B28" s="4"/>
      <c r="C28" s="4"/>
      <c r="D28" s="4"/>
      <c r="E28" s="4"/>
      <c r="F28" s="4" t="s">
        <v>26</v>
      </c>
      <c r="G28" s="11">
        <v>788.5</v>
      </c>
      <c r="H28" s="8"/>
      <c r="I28" s="11">
        <v>1102.57</v>
      </c>
      <c r="J28" s="8"/>
      <c r="K28" s="11">
        <f>ROUND((G28-I28),5)</f>
        <v>-314.07</v>
      </c>
      <c r="L28" s="9"/>
      <c r="M28" s="12">
        <f>ROUND(IF(G28=0, IF(I28=0, 0, SIGN(-I28)), IF(I28=0, SIGN(G28), (G28-I28)/ABS(I28))),5)</f>
        <v>-0.28484999999999999</v>
      </c>
      <c r="O28" s="11"/>
    </row>
    <row r="29" spans="1:16" s="7" customFormat="1" ht="23.1" hidden="1" customHeight="1" x14ac:dyDescent="0.3">
      <c r="A29" s="4"/>
      <c r="B29" s="4"/>
      <c r="C29" s="4"/>
      <c r="D29" s="4"/>
      <c r="E29" s="4" t="s">
        <v>27</v>
      </c>
      <c r="F29" s="4"/>
      <c r="G29" s="8">
        <f>ROUND(SUM(G26:G28),5)</f>
        <v>788.5</v>
      </c>
      <c r="H29" s="8"/>
      <c r="I29" s="8">
        <f>ROUND(SUM(I26:I28),5)</f>
        <v>765</v>
      </c>
      <c r="J29" s="8"/>
      <c r="K29" s="8">
        <f>ROUND((G29-I29),5)</f>
        <v>23.5</v>
      </c>
      <c r="L29" s="9"/>
      <c r="M29" s="10">
        <f>ROUND(IF(G29=0, IF(I29=0, 0, SIGN(-I29)), IF(I29=0, SIGN(G29), (G29-I29)/ABS(I29))),5)</f>
        <v>3.0720000000000001E-2</v>
      </c>
      <c r="O29" s="8">
        <f>ROUND(SUM(O26:O28),5)</f>
        <v>0</v>
      </c>
    </row>
    <row r="30" spans="1:16" s="7" customFormat="1" ht="23.1" hidden="1" customHeight="1" thickBot="1" x14ac:dyDescent="0.35">
      <c r="A30" s="4"/>
      <c r="B30" s="4"/>
      <c r="C30" s="4"/>
      <c r="D30" s="4"/>
      <c r="E30" s="4" t="s">
        <v>28</v>
      </c>
      <c r="F30" s="4"/>
      <c r="G30" s="11">
        <f>22.51+474</f>
        <v>496.51</v>
      </c>
      <c r="H30" s="8"/>
      <c r="I30" s="11">
        <v>0</v>
      </c>
      <c r="J30" s="8"/>
      <c r="K30" s="11">
        <f>ROUND((G30-I30),5)</f>
        <v>496.51</v>
      </c>
      <c r="L30" s="9"/>
      <c r="M30" s="12">
        <f>ROUND(IF(G30=0, IF(I30=0, 0, SIGN(-I30)), IF(I30=0, SIGN(G30), (G30-I30)/ABS(I30))),5)</f>
        <v>1</v>
      </c>
      <c r="O30" s="11"/>
      <c r="P30" s="7" t="s">
        <v>89</v>
      </c>
    </row>
    <row r="31" spans="1:16" s="7" customFormat="1" ht="23.1" hidden="1" customHeight="1" x14ac:dyDescent="0.3">
      <c r="A31" s="4"/>
      <c r="B31" s="4"/>
      <c r="C31" s="4"/>
      <c r="D31" s="4" t="s">
        <v>29</v>
      </c>
      <c r="E31" s="4"/>
      <c r="F31" s="4"/>
      <c r="G31" s="8">
        <f>ROUND(G21+G25+SUM(G29:G30),5)</f>
        <v>14601.44</v>
      </c>
      <c r="H31" s="8"/>
      <c r="I31" s="8">
        <f>ROUND(I21+I25+SUM(I29:I30),5)</f>
        <v>13189.44</v>
      </c>
      <c r="J31" s="8"/>
      <c r="K31" s="8">
        <f>ROUND((G31-I31),5)</f>
        <v>1412</v>
      </c>
      <c r="L31" s="9"/>
      <c r="M31" s="10">
        <f>ROUND(IF(G31=0, IF(I31=0, 0, SIGN(-I31)), IF(I31=0, SIGN(G31), (G31-I31)/ABS(I31))),5)</f>
        <v>0.10706</v>
      </c>
      <c r="O31" s="8">
        <f>ROUND(O21+O25+SUM(O29:O30),5)</f>
        <v>0</v>
      </c>
    </row>
    <row r="32" spans="1:16" s="7" customFormat="1" ht="23.1" hidden="1" customHeight="1" x14ac:dyDescent="0.3">
      <c r="A32" s="4"/>
      <c r="B32" s="4"/>
      <c r="C32" s="4"/>
      <c r="D32" s="4" t="s">
        <v>30</v>
      </c>
      <c r="E32" s="4"/>
      <c r="F32" s="4"/>
      <c r="G32" s="8"/>
      <c r="H32" s="8"/>
      <c r="I32" s="8"/>
      <c r="J32" s="8"/>
      <c r="K32" s="8"/>
      <c r="L32" s="9"/>
      <c r="M32" s="10"/>
      <c r="O32" s="8"/>
    </row>
    <row r="33" spans="1:16" s="7" customFormat="1" ht="23.1" hidden="1" customHeight="1" x14ac:dyDescent="0.3">
      <c r="A33" s="4"/>
      <c r="B33" s="4"/>
      <c r="C33" s="4"/>
      <c r="D33" s="4"/>
      <c r="E33" s="4" t="s">
        <v>31</v>
      </c>
      <c r="F33" s="4"/>
      <c r="G33" s="8"/>
      <c r="H33" s="8"/>
      <c r="I33" s="8"/>
      <c r="J33" s="8"/>
      <c r="K33" s="8"/>
      <c r="L33" s="9"/>
      <c r="M33" s="10"/>
      <c r="O33" s="8"/>
    </row>
    <row r="34" spans="1:16" s="7" customFormat="1" ht="23.1" hidden="1" customHeight="1" x14ac:dyDescent="0.3">
      <c r="A34" s="4"/>
      <c r="B34" s="4"/>
      <c r="C34" s="4"/>
      <c r="D34" s="4"/>
      <c r="E34" s="4"/>
      <c r="F34" s="4" t="s">
        <v>32</v>
      </c>
      <c r="G34" s="8">
        <v>0</v>
      </c>
      <c r="H34" s="8"/>
      <c r="I34" s="8">
        <v>-612.5</v>
      </c>
      <c r="J34" s="8"/>
      <c r="K34" s="8">
        <f>ROUND((G34-I34),5)</f>
        <v>612.5</v>
      </c>
      <c r="L34" s="9"/>
      <c r="M34" s="10">
        <f>ROUND(IF(G34=0, IF(I34=0, 0, SIGN(-I34)), IF(I34=0, SIGN(G34), (G34-I34)/ABS(I34))),5)</f>
        <v>1</v>
      </c>
      <c r="O34" s="8">
        <v>0</v>
      </c>
    </row>
    <row r="35" spans="1:16" s="7" customFormat="1" ht="23.1" hidden="1" customHeight="1" x14ac:dyDescent="0.3">
      <c r="A35" s="4"/>
      <c r="B35" s="4"/>
      <c r="C35" s="4"/>
      <c r="D35" s="4"/>
      <c r="E35" s="4"/>
      <c r="F35" s="4" t="s">
        <v>33</v>
      </c>
      <c r="G35" s="8">
        <v>0</v>
      </c>
      <c r="H35" s="8"/>
      <c r="I35" s="8">
        <v>-375</v>
      </c>
      <c r="J35" s="8"/>
      <c r="K35" s="8">
        <f>ROUND((G35-I35),5)</f>
        <v>375</v>
      </c>
      <c r="L35" s="9"/>
      <c r="M35" s="10">
        <f>ROUND(IF(G35=0, IF(I35=0, 0, SIGN(-I35)), IF(I35=0, SIGN(G35), (G35-I35)/ABS(I35))),5)</f>
        <v>1</v>
      </c>
      <c r="O35" s="8">
        <v>0</v>
      </c>
    </row>
    <row r="36" spans="1:16" s="7" customFormat="1" ht="23.1" hidden="1" customHeight="1" thickBot="1" x14ac:dyDescent="0.35">
      <c r="A36" s="4"/>
      <c r="B36" s="4"/>
      <c r="C36" s="4"/>
      <c r="D36" s="4"/>
      <c r="E36" s="4"/>
      <c r="F36" s="4" t="s">
        <v>34</v>
      </c>
      <c r="G36" s="11">
        <v>0</v>
      </c>
      <c r="H36" s="8"/>
      <c r="I36" s="11">
        <v>-5279.75</v>
      </c>
      <c r="J36" s="8"/>
      <c r="K36" s="11">
        <f>ROUND((G36-I36),5)</f>
        <v>5279.75</v>
      </c>
      <c r="L36" s="9"/>
      <c r="M36" s="12">
        <f>ROUND(IF(G36=0, IF(I36=0, 0, SIGN(-I36)), IF(I36=0, SIGN(G36), (G36-I36)/ABS(I36))),5)</f>
        <v>1</v>
      </c>
      <c r="O36" s="11">
        <v>0</v>
      </c>
    </row>
    <row r="37" spans="1:16" s="7" customFormat="1" ht="23.1" hidden="1" customHeight="1" x14ac:dyDescent="0.3">
      <c r="A37" s="4"/>
      <c r="B37" s="4"/>
      <c r="C37" s="4"/>
      <c r="D37" s="4"/>
      <c r="E37" s="4" t="s">
        <v>35</v>
      </c>
      <c r="F37" s="4"/>
      <c r="G37" s="8">
        <f>ROUND(SUM(G33:G36),5)</f>
        <v>0</v>
      </c>
      <c r="H37" s="8"/>
      <c r="I37" s="8">
        <f>ROUND(SUM(I33:I36),5)</f>
        <v>-6267.25</v>
      </c>
      <c r="J37" s="8"/>
      <c r="K37" s="8">
        <f>ROUND((G37-I37),5)</f>
        <v>6267.25</v>
      </c>
      <c r="L37" s="9"/>
      <c r="M37" s="10">
        <f>ROUND(IF(G37=0, IF(I37=0, 0, SIGN(-I37)), IF(I37=0, SIGN(G37), (G37-I37)/ABS(I37))),5)</f>
        <v>1</v>
      </c>
      <c r="O37" s="8">
        <f>ROUND(SUM(O33:O36),5)</f>
        <v>0</v>
      </c>
    </row>
    <row r="38" spans="1:16" s="7" customFormat="1" ht="23.1" hidden="1" customHeight="1" x14ac:dyDescent="0.3">
      <c r="A38" s="4"/>
      <c r="B38" s="4"/>
      <c r="C38" s="4"/>
      <c r="D38" s="4"/>
      <c r="E38" s="4" t="s">
        <v>36</v>
      </c>
      <c r="F38" s="4"/>
      <c r="G38" s="8"/>
      <c r="H38" s="8"/>
      <c r="I38" s="8"/>
      <c r="J38" s="8"/>
      <c r="K38" s="8"/>
      <c r="L38" s="9"/>
      <c r="M38" s="10"/>
      <c r="O38" s="8"/>
    </row>
    <row r="39" spans="1:16" s="7" customFormat="1" ht="23.1" hidden="1" customHeight="1" x14ac:dyDescent="0.3">
      <c r="A39" s="4"/>
      <c r="B39" s="4"/>
      <c r="C39" s="4"/>
      <c r="D39" s="4"/>
      <c r="E39" s="4"/>
      <c r="F39" s="4" t="s">
        <v>37</v>
      </c>
      <c r="G39" s="8">
        <v>0</v>
      </c>
      <c r="H39" s="8"/>
      <c r="I39" s="8">
        <v>220.5</v>
      </c>
      <c r="J39" s="8"/>
      <c r="K39" s="8">
        <f t="shared" ref="K39:K47" si="4">ROUND((G39-I39),5)</f>
        <v>-220.5</v>
      </c>
      <c r="L39" s="9"/>
      <c r="M39" s="10">
        <f t="shared" ref="M39:M47" si="5">ROUND(IF(G39=0, IF(I39=0, 0, SIGN(-I39)), IF(I39=0, SIGN(G39), (G39-I39)/ABS(I39))),5)</f>
        <v>-1</v>
      </c>
      <c r="O39" s="8">
        <v>0</v>
      </c>
    </row>
    <row r="40" spans="1:16" s="7" customFormat="1" ht="23.1" hidden="1" customHeight="1" x14ac:dyDescent="0.3">
      <c r="A40" s="4"/>
      <c r="B40" s="4"/>
      <c r="C40" s="4"/>
      <c r="D40" s="4"/>
      <c r="E40" s="4"/>
      <c r="F40" s="4" t="s">
        <v>32</v>
      </c>
      <c r="G40" s="8">
        <v>0</v>
      </c>
      <c r="H40" s="8"/>
      <c r="I40" s="8">
        <v>6895</v>
      </c>
      <c r="J40" s="8"/>
      <c r="K40" s="8">
        <f t="shared" si="4"/>
        <v>-6895</v>
      </c>
      <c r="L40" s="9"/>
      <c r="M40" s="10">
        <f t="shared" si="5"/>
        <v>-1</v>
      </c>
      <c r="O40" s="8">
        <v>0</v>
      </c>
    </row>
    <row r="41" spans="1:16" s="7" customFormat="1" ht="23.1" hidden="1" customHeight="1" x14ac:dyDescent="0.3">
      <c r="A41" s="4"/>
      <c r="B41" s="4"/>
      <c r="C41" s="4"/>
      <c r="D41" s="4"/>
      <c r="E41" s="4"/>
      <c r="F41" s="4" t="s">
        <v>38</v>
      </c>
      <c r="G41" s="8">
        <v>0</v>
      </c>
      <c r="H41" s="8"/>
      <c r="I41" s="8">
        <v>459</v>
      </c>
      <c r="J41" s="8"/>
      <c r="K41" s="8">
        <f t="shared" si="4"/>
        <v>-459</v>
      </c>
      <c r="L41" s="9"/>
      <c r="M41" s="10">
        <f t="shared" si="5"/>
        <v>-1</v>
      </c>
      <c r="O41" s="8">
        <v>0</v>
      </c>
    </row>
    <row r="42" spans="1:16" s="7" customFormat="1" ht="23.1" hidden="1" customHeight="1" x14ac:dyDescent="0.3">
      <c r="A42" s="4"/>
      <c r="B42" s="4"/>
      <c r="C42" s="4"/>
      <c r="D42" s="4"/>
      <c r="E42" s="4"/>
      <c r="F42" s="4" t="s">
        <v>33</v>
      </c>
      <c r="G42" s="8">
        <v>0</v>
      </c>
      <c r="H42" s="8"/>
      <c r="I42" s="8">
        <v>4171.5200000000004</v>
      </c>
      <c r="J42" s="8"/>
      <c r="K42" s="8">
        <f t="shared" si="4"/>
        <v>-4171.5200000000004</v>
      </c>
      <c r="L42" s="9"/>
      <c r="M42" s="10">
        <f t="shared" si="5"/>
        <v>-1</v>
      </c>
      <c r="O42" s="8">
        <v>0</v>
      </c>
    </row>
    <row r="43" spans="1:16" s="7" customFormat="1" ht="23.1" hidden="1" customHeight="1" thickBot="1" x14ac:dyDescent="0.35">
      <c r="A43" s="4"/>
      <c r="B43" s="4"/>
      <c r="C43" s="4"/>
      <c r="D43" s="4"/>
      <c r="E43" s="4"/>
      <c r="F43" s="4" t="s">
        <v>39</v>
      </c>
      <c r="G43" s="11">
        <v>0</v>
      </c>
      <c r="H43" s="8"/>
      <c r="I43" s="11">
        <v>26</v>
      </c>
      <c r="J43" s="8"/>
      <c r="K43" s="11">
        <f t="shared" si="4"/>
        <v>-26</v>
      </c>
      <c r="L43" s="9"/>
      <c r="M43" s="12">
        <f t="shared" si="5"/>
        <v>-1</v>
      </c>
      <c r="O43" s="11">
        <v>0</v>
      </c>
    </row>
    <row r="44" spans="1:16" s="7" customFormat="1" ht="23.1" hidden="1" customHeight="1" x14ac:dyDescent="0.3">
      <c r="A44" s="4"/>
      <c r="B44" s="4"/>
      <c r="C44" s="4"/>
      <c r="D44" s="4"/>
      <c r="E44" s="4" t="s">
        <v>40</v>
      </c>
      <c r="F44" s="4"/>
      <c r="G44" s="8">
        <f>ROUND(SUM(G38:G43),5)</f>
        <v>0</v>
      </c>
      <c r="H44" s="8"/>
      <c r="I44" s="8">
        <f>ROUND(SUM(I38:I43),5)</f>
        <v>11772.02</v>
      </c>
      <c r="J44" s="8"/>
      <c r="K44" s="8">
        <f t="shared" si="4"/>
        <v>-11772.02</v>
      </c>
      <c r="L44" s="9"/>
      <c r="M44" s="10">
        <f t="shared" si="5"/>
        <v>-1</v>
      </c>
      <c r="O44" s="8">
        <f>ROUND(SUM(O38:O43),5)</f>
        <v>0</v>
      </c>
    </row>
    <row r="45" spans="1:16" s="7" customFormat="1" ht="23.1" hidden="1" customHeight="1" thickBot="1" x14ac:dyDescent="0.35">
      <c r="A45" s="4"/>
      <c r="B45" s="4"/>
      <c r="C45" s="4"/>
      <c r="D45" s="4"/>
      <c r="E45" s="4" t="s">
        <v>41</v>
      </c>
      <c r="F45" s="4"/>
      <c r="G45" s="13">
        <v>220.5</v>
      </c>
      <c r="H45" s="8"/>
      <c r="I45" s="13">
        <v>0</v>
      </c>
      <c r="J45" s="8"/>
      <c r="K45" s="13">
        <f t="shared" si="4"/>
        <v>220.5</v>
      </c>
      <c r="L45" s="9"/>
      <c r="M45" s="14">
        <f t="shared" si="5"/>
        <v>1</v>
      </c>
      <c r="O45" s="13"/>
      <c r="P45" s="7" t="s">
        <v>83</v>
      </c>
    </row>
    <row r="46" spans="1:16" s="7" customFormat="1" ht="23.1" hidden="1" customHeight="1" thickBot="1" x14ac:dyDescent="0.35">
      <c r="A46" s="4"/>
      <c r="B46" s="4"/>
      <c r="C46" s="4"/>
      <c r="D46" s="4" t="s">
        <v>42</v>
      </c>
      <c r="E46" s="4"/>
      <c r="F46" s="4"/>
      <c r="G46" s="15">
        <f>ROUND(G32+G37+SUM(G44:G45),5)</f>
        <v>220.5</v>
      </c>
      <c r="H46" s="8"/>
      <c r="I46" s="15">
        <f>ROUND(I32+I37+SUM(I44:I45),5)</f>
        <v>5504.77</v>
      </c>
      <c r="J46" s="8"/>
      <c r="K46" s="15">
        <f t="shared" si="4"/>
        <v>-5284.27</v>
      </c>
      <c r="L46" s="9"/>
      <c r="M46" s="16">
        <f t="shared" si="5"/>
        <v>-0.95994000000000002</v>
      </c>
      <c r="O46" s="15">
        <f>ROUND(O32+O37+SUM(O44:O45),5)</f>
        <v>0</v>
      </c>
    </row>
    <row r="47" spans="1:16" s="7" customFormat="1" ht="37.5" x14ac:dyDescent="0.3">
      <c r="A47" s="4"/>
      <c r="B47" s="4"/>
      <c r="C47" s="4" t="s">
        <v>43</v>
      </c>
      <c r="D47" s="4"/>
      <c r="E47" s="4"/>
      <c r="F47" s="4"/>
      <c r="G47" s="8">
        <v>13305.68</v>
      </c>
      <c r="H47" s="8"/>
      <c r="I47" s="8">
        <f>ROUND(SUM(I19:I20)+I31+I46,5)</f>
        <v>16698.52</v>
      </c>
      <c r="J47" s="8"/>
      <c r="K47" s="8">
        <f t="shared" si="4"/>
        <v>-3392.84</v>
      </c>
      <c r="L47" s="9"/>
      <c r="M47" s="10">
        <f t="shared" si="5"/>
        <v>-0.20318</v>
      </c>
      <c r="O47" s="8">
        <f>ROUND(SUM(O19:O20)+O31+O46,5)</f>
        <v>15000</v>
      </c>
      <c r="P47" s="26" t="s">
        <v>115</v>
      </c>
    </row>
    <row r="48" spans="1:16" s="7" customFormat="1" ht="18.75" hidden="1" x14ac:dyDescent="0.3">
      <c r="A48" s="4"/>
      <c r="B48" s="4"/>
      <c r="C48" s="4" t="s">
        <v>44</v>
      </c>
      <c r="D48" s="4"/>
      <c r="E48" s="4"/>
      <c r="F48" s="4"/>
      <c r="G48" s="8"/>
      <c r="H48" s="8"/>
      <c r="I48" s="8"/>
      <c r="J48" s="8"/>
      <c r="K48" s="8"/>
      <c r="L48" s="9"/>
      <c r="M48" s="10"/>
      <c r="O48" s="8"/>
    </row>
    <row r="49" spans="1:16" s="7" customFormat="1" ht="19.5" hidden="1" thickBot="1" x14ac:dyDescent="0.35">
      <c r="A49" s="4"/>
      <c r="B49" s="4"/>
      <c r="C49" s="4"/>
      <c r="D49" s="4" t="s">
        <v>4</v>
      </c>
      <c r="E49" s="4"/>
      <c r="F49" s="4"/>
      <c r="G49" s="11">
        <v>1910.56</v>
      </c>
      <c r="H49" s="8"/>
      <c r="I49" s="11">
        <v>4116.96</v>
      </c>
      <c r="J49" s="8"/>
      <c r="K49" s="11">
        <f>ROUND((G49-I49),5)</f>
        <v>-2206.4</v>
      </c>
      <c r="L49" s="9"/>
      <c r="M49" s="12">
        <f>ROUND(IF(G49=0, IF(I49=0, 0, SIGN(-I49)), IF(I49=0, SIGN(G49), (G49-I49)/ABS(I49))),5)</f>
        <v>-0.53593000000000002</v>
      </c>
      <c r="O49" s="11">
        <v>4000</v>
      </c>
      <c r="P49" s="7" t="s">
        <v>91</v>
      </c>
    </row>
    <row r="50" spans="1:16" s="7" customFormat="1" ht="23.1" customHeight="1" x14ac:dyDescent="0.3">
      <c r="A50" s="4"/>
      <c r="B50" s="4"/>
      <c r="C50" s="4" t="s">
        <v>45</v>
      </c>
      <c r="D50" s="4"/>
      <c r="E50" s="4"/>
      <c r="F50" s="4"/>
      <c r="G50" s="8">
        <f>ROUND(SUM(G48:G49),5)</f>
        <v>1910.56</v>
      </c>
      <c r="H50" s="8"/>
      <c r="I50" s="8">
        <f>ROUND(SUM(I48:I49),5)</f>
        <v>4116.96</v>
      </c>
      <c r="J50" s="8"/>
      <c r="K50" s="8">
        <f>ROUND((G50-I50),5)</f>
        <v>-2206.4</v>
      </c>
      <c r="L50" s="9"/>
      <c r="M50" s="10">
        <f>ROUND(IF(G50=0, IF(I50=0, 0, SIGN(-I50)), IF(I50=0, SIGN(G50), (G50-I50)/ABS(I50))),5)</f>
        <v>-0.53593000000000002</v>
      </c>
      <c r="O50" s="8">
        <f>ROUND(SUM(O48:O49),5)</f>
        <v>4000</v>
      </c>
      <c r="P50" s="26"/>
    </row>
    <row r="51" spans="1:16" s="7" customFormat="1" ht="23.1" hidden="1" customHeight="1" x14ac:dyDescent="0.3">
      <c r="A51" s="4"/>
      <c r="B51" s="4"/>
      <c r="C51" s="4" t="s">
        <v>46</v>
      </c>
      <c r="D51" s="4"/>
      <c r="E51" s="4"/>
      <c r="F51" s="4"/>
      <c r="G51" s="8"/>
      <c r="H51" s="8"/>
      <c r="I51" s="8"/>
      <c r="J51" s="8"/>
      <c r="K51" s="8"/>
      <c r="L51" s="9"/>
      <c r="M51" s="10"/>
      <c r="O51" s="8"/>
    </row>
    <row r="52" spans="1:16" s="7" customFormat="1" ht="23.1" hidden="1" customHeight="1" thickBot="1" x14ac:dyDescent="0.35">
      <c r="A52" s="4"/>
      <c r="B52" s="4"/>
      <c r="C52" s="4"/>
      <c r="D52" s="4" t="s">
        <v>4</v>
      </c>
      <c r="E52" s="4"/>
      <c r="F52" s="4"/>
      <c r="G52" s="11">
        <v>1322</v>
      </c>
      <c r="H52" s="8"/>
      <c r="I52" s="11">
        <v>1752</v>
      </c>
      <c r="J52" s="8"/>
      <c r="K52" s="11">
        <f>ROUND((G52-I52),5)</f>
        <v>-430</v>
      </c>
      <c r="L52" s="9"/>
      <c r="M52" s="12">
        <f>ROUND(IF(G52=0, IF(I52=0, 0, SIGN(-I52)), IF(I52=0, SIGN(G52), (G52-I52)/ABS(I52))),5)</f>
        <v>-0.24543000000000001</v>
      </c>
      <c r="O52" s="11">
        <v>1750</v>
      </c>
    </row>
    <row r="53" spans="1:16" s="7" customFormat="1" ht="23.1" customHeight="1" x14ac:dyDescent="0.3">
      <c r="A53" s="4"/>
      <c r="B53" s="4"/>
      <c r="C53" s="4" t="s">
        <v>47</v>
      </c>
      <c r="D53" s="4"/>
      <c r="E53" s="4"/>
      <c r="F53" s="4"/>
      <c r="G53" s="8">
        <f>ROUND(SUM(G51:G52),5)</f>
        <v>1322</v>
      </c>
      <c r="H53" s="8"/>
      <c r="I53" s="8">
        <f>ROUND(SUM(I51:I52),5)</f>
        <v>1752</v>
      </c>
      <c r="J53" s="8"/>
      <c r="K53" s="8">
        <f>ROUND((G53-I53),5)</f>
        <v>-430</v>
      </c>
      <c r="L53" s="9"/>
      <c r="M53" s="10">
        <f>ROUND(IF(G53=0, IF(I53=0, 0, SIGN(-I53)), IF(I53=0, SIGN(G53), (G53-I53)/ABS(I53))),5)</f>
        <v>-0.24543000000000001</v>
      </c>
      <c r="O53" s="8">
        <f>ROUND(SUM(O51:O52),5)</f>
        <v>1750</v>
      </c>
    </row>
    <row r="54" spans="1:16" s="7" customFormat="1" ht="23.1" customHeight="1" x14ac:dyDescent="0.3">
      <c r="A54" s="4"/>
      <c r="B54" s="4"/>
      <c r="C54" s="4" t="s">
        <v>48</v>
      </c>
      <c r="D54" s="4"/>
      <c r="E54" s="4"/>
      <c r="F54" s="4"/>
      <c r="G54" s="8">
        <v>2000</v>
      </c>
      <c r="H54" s="8"/>
      <c r="I54" s="8">
        <v>0</v>
      </c>
      <c r="J54" s="8"/>
      <c r="K54" s="8">
        <f>ROUND((G54-I54),5)</f>
        <v>2000</v>
      </c>
      <c r="L54" s="9"/>
      <c r="M54" s="10">
        <f>ROUND(IF(G54=0, IF(I54=0, 0, SIGN(-I54)), IF(I54=0, SIGN(G54), (G54-I54)/ABS(I54))),5)</f>
        <v>1</v>
      </c>
      <c r="O54" s="8"/>
      <c r="P54" s="7" t="s">
        <v>111</v>
      </c>
    </row>
    <row r="55" spans="1:16" s="7" customFormat="1" ht="23.45" customHeight="1" x14ac:dyDescent="0.3">
      <c r="A55" s="4"/>
      <c r="B55" s="4"/>
      <c r="C55" s="4" t="s">
        <v>49</v>
      </c>
      <c r="D55" s="4"/>
      <c r="E55" s="4"/>
      <c r="F55" s="4"/>
      <c r="G55" s="8"/>
      <c r="H55" s="8"/>
      <c r="I55" s="8"/>
      <c r="J55" s="8"/>
      <c r="K55" s="8"/>
      <c r="L55" s="9"/>
      <c r="M55" s="10"/>
      <c r="O55" s="8"/>
    </row>
    <row r="56" spans="1:16" s="7" customFormat="1" ht="23.45" customHeight="1" x14ac:dyDescent="0.3">
      <c r="A56" s="4"/>
      <c r="B56" s="4"/>
      <c r="C56" s="4"/>
      <c r="D56" s="4" t="s">
        <v>6</v>
      </c>
      <c r="E56" s="4"/>
      <c r="F56" s="4"/>
      <c r="G56" s="8">
        <v>-23207.94</v>
      </c>
      <c r="H56" s="8"/>
      <c r="I56" s="8">
        <v>-20750.849999999999</v>
      </c>
      <c r="J56" s="8"/>
      <c r="K56" s="8">
        <f>ROUND((G56-I56),5)</f>
        <v>-2457.09</v>
      </c>
      <c r="L56" s="9"/>
      <c r="M56" s="10">
        <f>ROUND(IF(G56=0, IF(I56=0, 0, SIGN(-I56)), IF(I56=0, SIGN(G56), (G56-I56)/ABS(I56))),5)</f>
        <v>-0.11841</v>
      </c>
      <c r="O56" s="8"/>
    </row>
    <row r="57" spans="1:16" s="7" customFormat="1" ht="23.45" customHeight="1" thickBot="1" x14ac:dyDescent="0.35">
      <c r="A57" s="4"/>
      <c r="B57" s="4"/>
      <c r="C57" s="4"/>
      <c r="D57" s="4" t="s">
        <v>4</v>
      </c>
      <c r="E57" s="4"/>
      <c r="F57" s="4"/>
      <c r="G57" s="11">
        <v>26782.69</v>
      </c>
      <c r="H57" s="8"/>
      <c r="I57" s="11">
        <v>27147.74</v>
      </c>
      <c r="J57" s="8"/>
      <c r="K57" s="11">
        <f>ROUND((G57-I57),5)</f>
        <v>-365.05</v>
      </c>
      <c r="L57" s="9"/>
      <c r="M57" s="12">
        <f>ROUND(IF(G57=0, IF(I57=0, 0, SIGN(-I57)), IF(I57=0, SIGN(G57), (G57-I57)/ABS(I57))),5)</f>
        <v>-1.345E-2</v>
      </c>
      <c r="O57" s="11">
        <v>5000</v>
      </c>
    </row>
    <row r="58" spans="1:16" s="7" customFormat="1" ht="23.1" customHeight="1" thickBot="1" x14ac:dyDescent="0.35">
      <c r="A58" s="4"/>
      <c r="B58" s="4"/>
      <c r="C58" s="4" t="s">
        <v>50</v>
      </c>
      <c r="D58" s="4"/>
      <c r="E58" s="4"/>
      <c r="F58" s="4"/>
      <c r="G58" s="8">
        <f>ROUND(SUM(G55:G57),5)</f>
        <v>3574.75</v>
      </c>
      <c r="H58" s="8"/>
      <c r="I58" s="8">
        <f>ROUND(SUM(I55:I57),5)</f>
        <v>6396.89</v>
      </c>
      <c r="J58" s="8"/>
      <c r="K58" s="37">
        <f>ROUND((G58-I58),5)</f>
        <v>-2822.14</v>
      </c>
      <c r="L58" s="9"/>
      <c r="M58" s="10">
        <f>ROUND(IF(G58=0, IF(I58=0, 0, SIGN(-I58)), IF(I58=0, SIGN(G58), (G58-I58)/ABS(I58))),5)</f>
        <v>-0.44117000000000001</v>
      </c>
      <c r="O58" s="8">
        <f>ROUND(SUM(O55:O57),5)</f>
        <v>5000</v>
      </c>
      <c r="P58" s="265" t="s">
        <v>114</v>
      </c>
    </row>
    <row r="59" spans="1:16" s="7" customFormat="1" ht="23.1" hidden="1" customHeight="1" x14ac:dyDescent="0.3">
      <c r="A59" s="4"/>
      <c r="B59" s="4"/>
      <c r="C59" s="4" t="s">
        <v>51</v>
      </c>
      <c r="D59" s="4"/>
      <c r="E59" s="4"/>
      <c r="F59" s="4"/>
      <c r="G59" s="8"/>
      <c r="H59" s="8"/>
      <c r="I59" s="8"/>
      <c r="J59" s="8"/>
      <c r="K59" s="8"/>
      <c r="L59" s="9"/>
      <c r="M59" s="10"/>
      <c r="O59" s="8"/>
      <c r="P59" s="265"/>
    </row>
    <row r="60" spans="1:16" s="7" customFormat="1" ht="23.1" hidden="1" customHeight="1" x14ac:dyDescent="0.3">
      <c r="A60" s="4"/>
      <c r="B60" s="4"/>
      <c r="C60" s="4"/>
      <c r="D60" s="4" t="s">
        <v>6</v>
      </c>
      <c r="E60" s="4"/>
      <c r="F60" s="4"/>
      <c r="G60" s="8">
        <v>-36</v>
      </c>
      <c r="H60" s="8"/>
      <c r="I60" s="8">
        <v>-270</v>
      </c>
      <c r="J60" s="8"/>
      <c r="K60" s="8">
        <f>ROUND((G60-I60),5)</f>
        <v>234</v>
      </c>
      <c r="L60" s="9"/>
      <c r="M60" s="10">
        <f>ROUND(IF(G60=0, IF(I60=0, 0, SIGN(-I60)), IF(I60=0, SIGN(G60), (G60-I60)/ABS(I60))),5)</f>
        <v>0.86667000000000005</v>
      </c>
      <c r="O60" s="8"/>
      <c r="P60" s="265"/>
    </row>
    <row r="61" spans="1:16" s="7" customFormat="1" ht="23.1" hidden="1" customHeight="1" thickBot="1" x14ac:dyDescent="0.35">
      <c r="A61" s="4"/>
      <c r="B61" s="4"/>
      <c r="C61" s="4"/>
      <c r="D61" s="4" t="s">
        <v>4</v>
      </c>
      <c r="E61" s="4"/>
      <c r="F61" s="4"/>
      <c r="G61" s="13">
        <v>0</v>
      </c>
      <c r="H61" s="8"/>
      <c r="I61" s="13">
        <v>205</v>
      </c>
      <c r="J61" s="8"/>
      <c r="K61" s="13">
        <f>ROUND((G61-I61),5)</f>
        <v>-205</v>
      </c>
      <c r="L61" s="9"/>
      <c r="M61" s="14">
        <f>ROUND(IF(G61=0, IF(I61=0, 0, SIGN(-I61)), IF(I61=0, SIGN(G61), (G61-I61)/ABS(I61))),5)</f>
        <v>-1</v>
      </c>
      <c r="O61" s="13">
        <v>200</v>
      </c>
      <c r="P61" s="265"/>
    </row>
    <row r="62" spans="1:16" s="7" customFormat="1" ht="23.1" customHeight="1" thickBot="1" x14ac:dyDescent="0.35">
      <c r="A62" s="4"/>
      <c r="B62" s="4"/>
      <c r="C62" s="4" t="s">
        <v>52</v>
      </c>
      <c r="D62" s="4"/>
      <c r="E62" s="4"/>
      <c r="F62" s="4"/>
      <c r="G62" s="15">
        <f>ROUND(SUM(G59:G61),5)</f>
        <v>-36</v>
      </c>
      <c r="H62" s="8"/>
      <c r="I62" s="15">
        <f>ROUND(SUM(I59:I61),5)</f>
        <v>-65</v>
      </c>
      <c r="J62" s="8"/>
      <c r="K62" s="15">
        <f>ROUND((G62-I62),5)</f>
        <v>29</v>
      </c>
      <c r="L62" s="9"/>
      <c r="M62" s="16">
        <f>ROUND(IF(G62=0, IF(I62=0, 0, SIGN(-I62)), IF(I62=0, SIGN(G62), (G62-I62)/ABS(I62))),5)</f>
        <v>0.44614999999999999</v>
      </c>
      <c r="O62" s="15">
        <f>ROUND(SUM(O59:O61),5)</f>
        <v>200</v>
      </c>
      <c r="P62" s="265"/>
    </row>
    <row r="63" spans="1:16" s="7" customFormat="1" ht="37.5" x14ac:dyDescent="0.3">
      <c r="A63" s="4"/>
      <c r="B63" s="4" t="s">
        <v>53</v>
      </c>
      <c r="C63" s="4"/>
      <c r="D63" s="4"/>
      <c r="E63" s="4"/>
      <c r="F63" s="4"/>
      <c r="G63" s="8">
        <f>ROUND(G3+SUM(G7:G10)+SUM(G16:G18)+G47+G50+SUM(G53:G54)+G58+G62,5)</f>
        <v>54482.37</v>
      </c>
      <c r="H63" s="8"/>
      <c r="I63" s="8">
        <f>ROUND(I3+SUM(I7:I10)+SUM(I16:I18)+I47+I50+SUM(I53:I54)+I58+I62,5)</f>
        <v>67827.66</v>
      </c>
      <c r="J63" s="8"/>
      <c r="K63" s="8">
        <f>ROUND((G63-I63),5)</f>
        <v>-13345.29</v>
      </c>
      <c r="L63" s="9"/>
      <c r="M63" s="10">
        <f>ROUND(IF(G63=0, IF(I63=0, 0, SIGN(-I63)), IF(I63=0, SIGN(G63), (G63-I63)/ABS(I63))),5)</f>
        <v>-0.19675000000000001</v>
      </c>
      <c r="O63" s="8">
        <f>ROUND(O3+SUM(O7:O10)+SUM(O16:O18)+O47+O50+SUM(O53:O54)+O58+O62,5)</f>
        <v>60950</v>
      </c>
      <c r="P63" s="26" t="s">
        <v>116</v>
      </c>
    </row>
    <row r="64" spans="1:16" s="7" customFormat="1" ht="23.1" customHeight="1" x14ac:dyDescent="0.3">
      <c r="A64" s="4"/>
      <c r="B64" s="4" t="s">
        <v>6</v>
      </c>
      <c r="C64" s="4"/>
      <c r="D64" s="4"/>
      <c r="E64" s="4"/>
      <c r="F64" s="4"/>
      <c r="G64" s="8"/>
      <c r="H64" s="8"/>
      <c r="I64" s="8"/>
      <c r="J64" s="8"/>
      <c r="K64" s="8"/>
      <c r="L64" s="9"/>
      <c r="M64" s="10"/>
      <c r="O64" s="8"/>
    </row>
    <row r="65" spans="1:16" s="7" customFormat="1" ht="23.1" customHeight="1" x14ac:dyDescent="0.3">
      <c r="A65" s="4"/>
      <c r="B65" s="4"/>
      <c r="C65" s="4" t="s">
        <v>102</v>
      </c>
      <c r="D65" s="4"/>
      <c r="E65" s="4"/>
      <c r="F65" s="4"/>
      <c r="G65" s="8">
        <v>2724.59</v>
      </c>
      <c r="H65" s="8"/>
      <c r="I65" s="8">
        <v>3512.25</v>
      </c>
      <c r="J65" s="8"/>
      <c r="K65" s="8">
        <f>ROUND((G65-I65),5)</f>
        <v>-787.66</v>
      </c>
      <c r="L65" s="9"/>
      <c r="M65" s="10">
        <f>ROUND(IF(G65=0, IF(I65=0, 0, SIGN(-I65)), IF(I65=0, SIGN(G65), (G65-I65)/ABS(I65))),5)</f>
        <v>-0.22425999999999999</v>
      </c>
      <c r="O65" s="8">
        <v>4100</v>
      </c>
    </row>
    <row r="66" spans="1:16" s="7" customFormat="1" ht="18.75" x14ac:dyDescent="0.3">
      <c r="A66" s="4"/>
      <c r="B66" s="4"/>
      <c r="C66" s="4" t="s">
        <v>55</v>
      </c>
      <c r="D66" s="4"/>
      <c r="E66" s="4"/>
      <c r="F66" s="4"/>
      <c r="G66" s="8">
        <v>23131.599999999999</v>
      </c>
      <c r="H66" s="8"/>
      <c r="I66" s="8">
        <v>31802.32</v>
      </c>
      <c r="J66" s="8"/>
      <c r="K66" s="8">
        <f>ROUND((G66-I66),5)</f>
        <v>-8670.7199999999993</v>
      </c>
      <c r="L66" s="9"/>
      <c r="M66" s="10">
        <f>ROUND(IF(G66=0, IF(I66=0, 0, SIGN(-I66)), IF(I66=0, SIGN(G66), (G66-I66)/ABS(I66))),5)</f>
        <v>-0.27263999999999999</v>
      </c>
      <c r="O66" s="8">
        <v>55000</v>
      </c>
      <c r="P66" s="26"/>
    </row>
    <row r="67" spans="1:16" s="7" customFormat="1" ht="23.1" customHeight="1" x14ac:dyDescent="0.3">
      <c r="A67" s="4"/>
      <c r="B67" s="4"/>
      <c r="C67" s="4" t="s">
        <v>56</v>
      </c>
      <c r="D67" s="4"/>
      <c r="E67" s="4"/>
      <c r="F67" s="4"/>
      <c r="G67" s="8">
        <v>417.1</v>
      </c>
      <c r="H67" s="8"/>
      <c r="I67" s="8">
        <v>1950.66</v>
      </c>
      <c r="J67" s="8"/>
      <c r="K67" s="8">
        <f>ROUND((G67-I67),5)</f>
        <v>-1533.56</v>
      </c>
      <c r="L67" s="9"/>
      <c r="M67" s="10">
        <f>ROUND(IF(G67=0, IF(I67=0, 0, SIGN(-I67)), IF(I67=0, SIGN(G67), (G67-I67)/ABS(I67))),5)</f>
        <v>-0.78617000000000004</v>
      </c>
      <c r="O67" s="8">
        <v>2000</v>
      </c>
    </row>
    <row r="68" spans="1:16" s="7" customFormat="1" ht="23.1" customHeight="1" x14ac:dyDescent="0.3">
      <c r="A68" s="4"/>
      <c r="B68" s="4"/>
      <c r="C68" s="4" t="s">
        <v>57</v>
      </c>
      <c r="D68" s="4"/>
      <c r="E68" s="4"/>
      <c r="F68" s="4"/>
      <c r="G68" s="8">
        <v>0</v>
      </c>
      <c r="H68" s="8"/>
      <c r="I68" s="8">
        <v>2562.9299999999998</v>
      </c>
      <c r="J68" s="8"/>
      <c r="K68" s="8">
        <f>ROUND((G68-I68),5)</f>
        <v>-2562.9299999999998</v>
      </c>
      <c r="L68" s="9"/>
      <c r="M68" s="10">
        <f>ROUND(IF(G68=0, IF(I68=0, 0, SIGN(-I68)), IF(I68=0, SIGN(G68), (G68-I68)/ABS(I68))),5)</f>
        <v>-1</v>
      </c>
      <c r="O68" s="8">
        <v>2500</v>
      </c>
    </row>
    <row r="69" spans="1:16" s="7" customFormat="1" ht="23.1" customHeight="1" x14ac:dyDescent="0.3">
      <c r="A69" s="4"/>
      <c r="B69" s="4"/>
      <c r="C69" s="4" t="s">
        <v>58</v>
      </c>
      <c r="D69" s="4"/>
      <c r="E69" s="4"/>
      <c r="F69" s="4"/>
      <c r="G69" s="8">
        <v>5000</v>
      </c>
      <c r="H69" s="8"/>
      <c r="I69" s="8">
        <v>5000</v>
      </c>
      <c r="J69" s="8"/>
      <c r="K69" s="8">
        <f>ROUND((G69-I69),5)</f>
        <v>0</v>
      </c>
      <c r="L69" s="9"/>
      <c r="M69" s="10">
        <f>ROUND(IF(G69=0, IF(I69=0, 0, SIGN(-I69)), IF(I69=0, SIGN(G69), (G69-I69)/ABS(I69))),5)</f>
        <v>0</v>
      </c>
      <c r="O69" s="8">
        <v>5000</v>
      </c>
    </row>
    <row r="70" spans="1:16" s="7" customFormat="1" ht="23.45" hidden="1" customHeight="1" x14ac:dyDescent="0.3">
      <c r="A70" s="4"/>
      <c r="B70" s="4"/>
      <c r="C70" s="4" t="s">
        <v>59</v>
      </c>
      <c r="D70" s="4"/>
      <c r="E70" s="4"/>
      <c r="F70" s="4"/>
      <c r="G70" s="8"/>
      <c r="H70" s="8"/>
      <c r="I70" s="8"/>
      <c r="J70" s="8"/>
      <c r="K70" s="8"/>
      <c r="L70" s="9"/>
      <c r="M70" s="10"/>
      <c r="O70" s="8"/>
    </row>
    <row r="71" spans="1:16" s="7" customFormat="1" ht="23.45" hidden="1" customHeight="1" x14ac:dyDescent="0.3">
      <c r="A71" s="4"/>
      <c r="B71" s="4"/>
      <c r="C71" s="4"/>
      <c r="D71" s="4" t="s">
        <v>71</v>
      </c>
      <c r="E71" s="4"/>
      <c r="F71" s="4"/>
      <c r="G71" s="8"/>
      <c r="H71" s="8"/>
      <c r="I71" s="8">
        <v>216.81</v>
      </c>
      <c r="J71" s="8"/>
      <c r="K71" s="8">
        <f>ROUND((G71-I71),5)</f>
        <v>-216.81</v>
      </c>
      <c r="L71" s="9"/>
      <c r="M71" s="10">
        <f>ROUND(IF(G71=0, IF(I71=0, 0, SIGN(-I71)), IF(I71=0, SIGN(G71), (G71-I71)/ABS(I71))),5)</f>
        <v>-1</v>
      </c>
      <c r="O71" s="8">
        <f>250+200</f>
        <v>450</v>
      </c>
    </row>
    <row r="72" spans="1:16" s="7" customFormat="1" ht="23.45" hidden="1" customHeight="1" thickBot="1" x14ac:dyDescent="0.35">
      <c r="A72" s="4"/>
      <c r="B72" s="4"/>
      <c r="C72" s="4"/>
      <c r="D72" s="4" t="s">
        <v>60</v>
      </c>
      <c r="E72" s="4"/>
      <c r="F72" s="4"/>
      <c r="G72" s="11"/>
      <c r="H72" s="8"/>
      <c r="I72" s="11">
        <v>-1093.47</v>
      </c>
      <c r="J72" s="8"/>
      <c r="K72" s="11">
        <f>ROUND((G72-I72),5)</f>
        <v>1093.47</v>
      </c>
      <c r="L72" s="9"/>
      <c r="M72" s="12">
        <f>ROUND(IF(G72=0, IF(I72=0, 0, SIGN(-I72)), IF(I72=0, SIGN(G72), (G72-I72)/ABS(I72))),5)</f>
        <v>1</v>
      </c>
      <c r="O72" s="11">
        <v>0</v>
      </c>
    </row>
    <row r="73" spans="1:16" s="7" customFormat="1" ht="23.1" customHeight="1" x14ac:dyDescent="0.3">
      <c r="A73" s="4"/>
      <c r="B73" s="4"/>
      <c r="C73" s="4" t="s">
        <v>61</v>
      </c>
      <c r="D73" s="4"/>
      <c r="E73" s="4"/>
      <c r="F73" s="4"/>
      <c r="G73" s="8">
        <v>-403.29</v>
      </c>
      <c r="H73" s="8"/>
      <c r="I73" s="8">
        <f>ROUND(SUM(I70:I72),5)</f>
        <v>-876.66</v>
      </c>
      <c r="J73" s="8"/>
      <c r="K73" s="8">
        <f>ROUND((G73-I73),5)</f>
        <v>473.37</v>
      </c>
      <c r="L73" s="9"/>
      <c r="M73" s="10">
        <f>ROUND(IF(G73=0, IF(I73=0, 0, SIGN(-I73)), IF(I73=0, SIGN(G73), (G73-I73)/ABS(I73))),5)</f>
        <v>0.53996999999999995</v>
      </c>
      <c r="O73" s="8">
        <f>ROUND(SUM(O70:O72),5)</f>
        <v>450</v>
      </c>
    </row>
    <row r="74" spans="1:16" s="7" customFormat="1" ht="23.1" customHeight="1" x14ac:dyDescent="0.3">
      <c r="A74" s="4"/>
      <c r="B74" s="4"/>
      <c r="C74" s="4" t="s">
        <v>62</v>
      </c>
      <c r="D74" s="4"/>
      <c r="E74" s="4"/>
      <c r="F74" s="4"/>
      <c r="G74" s="8">
        <v>10000</v>
      </c>
      <c r="H74" s="8"/>
      <c r="I74" s="8">
        <v>5000</v>
      </c>
      <c r="J74" s="8"/>
      <c r="K74" s="8">
        <f>ROUND((G74-I74),5)</f>
        <v>5000</v>
      </c>
      <c r="L74" s="9"/>
      <c r="M74" s="10">
        <f>ROUND(IF(G74=0, IF(I74=0, 0, SIGN(-I74)), IF(I74=0, SIGN(G74), (G74-I74)/ABS(I74))),5)</f>
        <v>1</v>
      </c>
      <c r="O74" s="8">
        <v>10000</v>
      </c>
    </row>
    <row r="75" spans="1:16" s="7" customFormat="1" ht="23.1" customHeight="1" x14ac:dyDescent="0.3">
      <c r="A75" s="4"/>
      <c r="B75" s="4"/>
      <c r="C75" s="4" t="s">
        <v>63</v>
      </c>
      <c r="D75" s="4"/>
      <c r="E75" s="4"/>
      <c r="F75" s="4"/>
      <c r="G75" s="8"/>
      <c r="H75" s="8"/>
      <c r="I75" s="8"/>
      <c r="J75" s="8"/>
      <c r="K75" s="8"/>
      <c r="L75" s="9"/>
      <c r="M75" s="10"/>
      <c r="O75" s="8"/>
    </row>
    <row r="76" spans="1:16" s="7" customFormat="1" ht="23.1" customHeight="1" x14ac:dyDescent="0.3">
      <c r="A76" s="4"/>
      <c r="B76" s="4"/>
      <c r="C76" s="4"/>
      <c r="D76" s="4" t="s">
        <v>64</v>
      </c>
      <c r="E76" s="4"/>
      <c r="F76" s="4"/>
      <c r="G76" s="8">
        <v>0</v>
      </c>
      <c r="H76" s="8"/>
      <c r="I76" s="8">
        <v>1782.04</v>
      </c>
      <c r="J76" s="8"/>
      <c r="K76" s="8">
        <f>ROUND((G76-I76),5)</f>
        <v>-1782.04</v>
      </c>
      <c r="L76" s="9"/>
      <c r="M76" s="10">
        <f t="shared" ref="M76:M82" si="6">ROUND(IF(G76=0, IF(I76=0, 0, SIGN(-I76)), IF(I76=0, SIGN(G76), (G76-I76)/ABS(I76))),5)</f>
        <v>-1</v>
      </c>
      <c r="O76" s="8">
        <v>2000</v>
      </c>
    </row>
    <row r="77" spans="1:16" s="7" customFormat="1" ht="23.1" customHeight="1" x14ac:dyDescent="0.3">
      <c r="A77" s="4"/>
      <c r="B77" s="4"/>
      <c r="C77" s="4"/>
      <c r="D77" s="4" t="s">
        <v>65</v>
      </c>
      <c r="E77" s="4"/>
      <c r="F77" s="4"/>
      <c r="G77" s="8">
        <v>3000</v>
      </c>
      <c r="H77" s="8"/>
      <c r="I77" s="8">
        <v>3000</v>
      </c>
      <c r="J77" s="8"/>
      <c r="K77" s="8">
        <f t="shared" ref="K77:K82" si="7">ROUND((G77-I77),5)</f>
        <v>0</v>
      </c>
      <c r="L77" s="9"/>
      <c r="M77" s="10">
        <f t="shared" si="6"/>
        <v>0</v>
      </c>
      <c r="O77" s="8">
        <v>3000</v>
      </c>
    </row>
    <row r="78" spans="1:16" s="7" customFormat="1" ht="23.1" customHeight="1" thickBot="1" x14ac:dyDescent="0.35">
      <c r="A78" s="4"/>
      <c r="B78" s="4"/>
      <c r="C78" s="4"/>
      <c r="D78" s="4" t="s">
        <v>66</v>
      </c>
      <c r="E78" s="4"/>
      <c r="F78" s="4"/>
      <c r="G78" s="11">
        <v>0</v>
      </c>
      <c r="H78" s="8"/>
      <c r="I78" s="11">
        <v>1752.94</v>
      </c>
      <c r="J78" s="8"/>
      <c r="K78" s="11">
        <f t="shared" si="7"/>
        <v>-1752.94</v>
      </c>
      <c r="L78" s="9"/>
      <c r="M78" s="12">
        <f t="shared" si="6"/>
        <v>-1</v>
      </c>
      <c r="O78" s="11">
        <v>1800</v>
      </c>
    </row>
    <row r="79" spans="1:16" s="7" customFormat="1" ht="23.1" customHeight="1" x14ac:dyDescent="0.3">
      <c r="A79" s="4"/>
      <c r="B79" s="4"/>
      <c r="C79" s="4" t="s">
        <v>67</v>
      </c>
      <c r="D79" s="4"/>
      <c r="E79" s="4"/>
      <c r="F79" s="4"/>
      <c r="G79" s="8">
        <f>ROUND(SUM(G75:G78),5)</f>
        <v>3000</v>
      </c>
      <c r="H79" s="8"/>
      <c r="I79" s="8">
        <f>ROUND(SUM(I75:I78),5)</f>
        <v>6534.98</v>
      </c>
      <c r="J79" s="8"/>
      <c r="K79" s="8">
        <f t="shared" si="7"/>
        <v>-3534.98</v>
      </c>
      <c r="L79" s="9"/>
      <c r="M79" s="10">
        <f t="shared" si="6"/>
        <v>-0.54093000000000002</v>
      </c>
      <c r="O79" s="8">
        <f>ROUND(SUM(O75:O78),5)</f>
        <v>6800</v>
      </c>
    </row>
    <row r="80" spans="1:16" s="7" customFormat="1" ht="23.1" customHeight="1" thickBot="1" x14ac:dyDescent="0.35">
      <c r="A80" s="4"/>
      <c r="B80" s="4"/>
      <c r="C80" s="4" t="s">
        <v>68</v>
      </c>
      <c r="D80" s="4"/>
      <c r="E80" s="4"/>
      <c r="F80" s="4"/>
      <c r="G80" s="13">
        <v>1278</v>
      </c>
      <c r="H80" s="8"/>
      <c r="I80" s="13">
        <v>1457.46</v>
      </c>
      <c r="J80" s="8"/>
      <c r="K80" s="13">
        <f t="shared" si="7"/>
        <v>-179.46</v>
      </c>
      <c r="L80" s="9"/>
      <c r="M80" s="14">
        <f t="shared" si="6"/>
        <v>-0.12313</v>
      </c>
      <c r="O80" s="13">
        <v>5000</v>
      </c>
    </row>
    <row r="81" spans="1:15" s="7" customFormat="1" ht="23.1" customHeight="1" thickBot="1" x14ac:dyDescent="0.35">
      <c r="A81" s="4"/>
      <c r="B81" s="4" t="s">
        <v>69</v>
      </c>
      <c r="C81" s="4"/>
      <c r="D81" s="4"/>
      <c r="E81" s="4"/>
      <c r="F81" s="4"/>
      <c r="G81" s="17">
        <f>ROUND(SUM(G64:G69)+SUM(G73:G74)+SUM(G79:G80),5)</f>
        <v>45148</v>
      </c>
      <c r="H81" s="8"/>
      <c r="I81" s="17">
        <f>ROUND(SUM(I64:I69)+SUM(I73:I74)+SUM(I79:I80),5)</f>
        <v>56943.94</v>
      </c>
      <c r="J81" s="8"/>
      <c r="K81" s="17">
        <f t="shared" si="7"/>
        <v>-11795.94</v>
      </c>
      <c r="L81" s="9"/>
      <c r="M81" s="18">
        <f t="shared" si="6"/>
        <v>-0.20715</v>
      </c>
      <c r="O81" s="17">
        <f>ROUND(SUM(O64:O69)+SUM(O73:O74)+SUM(O79:O80),5)</f>
        <v>90850</v>
      </c>
    </row>
    <row r="82" spans="1:15" s="22" customFormat="1" ht="23.1" customHeight="1" thickBot="1" x14ac:dyDescent="0.35">
      <c r="A82" s="4" t="s">
        <v>70</v>
      </c>
      <c r="B82" s="4"/>
      <c r="C82" s="4"/>
      <c r="D82" s="4"/>
      <c r="E82" s="4"/>
      <c r="F82" s="4"/>
      <c r="G82" s="19">
        <f>ROUND(G63-G81,5)</f>
        <v>9334.3700000000008</v>
      </c>
      <c r="H82" s="20"/>
      <c r="I82" s="19">
        <f>ROUND(I63-I81,5)</f>
        <v>10883.72</v>
      </c>
      <c r="J82" s="20"/>
      <c r="K82" s="19">
        <f t="shared" si="7"/>
        <v>-1549.35</v>
      </c>
      <c r="L82" s="4"/>
      <c r="M82" s="21">
        <f t="shared" si="6"/>
        <v>-0.14235</v>
      </c>
      <c r="O82" s="19">
        <f>ROUND(O63-O81,5)</f>
        <v>-29900</v>
      </c>
    </row>
    <row r="83" spans="1:15" s="7" customFormat="1" ht="19.5" thickTop="1" x14ac:dyDescent="0.3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5"/>
      <c r="M83" s="25"/>
      <c r="O83" s="25"/>
    </row>
    <row r="84" spans="1:15" s="7" customFormat="1" ht="18.75" x14ac:dyDescent="0.3">
      <c r="A84" s="23"/>
      <c r="B84" s="23"/>
      <c r="C84" s="23"/>
      <c r="D84" s="23"/>
      <c r="E84" s="23"/>
      <c r="F84" s="23"/>
      <c r="G84" s="25"/>
      <c r="H84" s="25"/>
      <c r="I84" s="25"/>
      <c r="J84" s="25"/>
      <c r="K84" s="28" t="s">
        <v>93</v>
      </c>
      <c r="L84" s="28"/>
      <c r="M84" s="28"/>
      <c r="N84" s="29"/>
      <c r="O84" s="30"/>
    </row>
    <row r="85" spans="1:15" s="7" customFormat="1" ht="18.75" x14ac:dyDescent="0.3">
      <c r="A85" s="23"/>
      <c r="B85" s="23"/>
      <c r="C85" s="23"/>
      <c r="D85" s="23"/>
      <c r="E85" s="23"/>
      <c r="F85" s="23"/>
      <c r="G85" s="25"/>
      <c r="H85" s="25"/>
      <c r="I85" s="25"/>
      <c r="J85" s="25"/>
      <c r="K85" s="25" t="s">
        <v>94</v>
      </c>
      <c r="L85" s="25"/>
      <c r="M85" s="25"/>
      <c r="N85" s="27"/>
      <c r="O85" s="24">
        <v>62333.120000000003</v>
      </c>
    </row>
    <row r="86" spans="1:15" s="7" customFormat="1" ht="18.75" x14ac:dyDescent="0.3">
      <c r="A86" s="23"/>
      <c r="B86" s="23"/>
      <c r="C86" s="23"/>
      <c r="D86" s="23"/>
      <c r="E86" s="23"/>
      <c r="F86" s="23"/>
      <c r="G86" s="25"/>
      <c r="H86" s="25"/>
      <c r="I86" s="25"/>
      <c r="J86" s="25"/>
      <c r="K86" s="25" t="s">
        <v>95</v>
      </c>
      <c r="L86" s="25"/>
      <c r="M86" s="25"/>
      <c r="O86" s="24">
        <f>G82</f>
        <v>9334.3700000000008</v>
      </c>
    </row>
    <row r="87" spans="1:15" ht="18.75" x14ac:dyDescent="0.3">
      <c r="K87" s="27" t="s">
        <v>113</v>
      </c>
      <c r="L87" s="25"/>
      <c r="M87" s="25"/>
      <c r="N87" s="7"/>
      <c r="O87" s="24">
        <v>71667.490000000005</v>
      </c>
    </row>
    <row r="88" spans="1:15" x14ac:dyDescent="0.25">
      <c r="O88" s="31">
        <f>O85+O86-O87</f>
        <v>0</v>
      </c>
    </row>
  </sheetData>
  <mergeCells count="1">
    <mergeCell ref="P58:P62"/>
  </mergeCells>
  <printOptions horizontalCentered="1"/>
  <pageMargins left="0.25" right="0.25" top="0.75" bottom="0.75" header="0.3" footer="0.3"/>
  <pageSetup scale="48" orientation="landscape" r:id="rId1"/>
  <headerFooter>
    <oddHeader>&amp;L&amp;"Times New Roman,Bold"&amp;14TREASURER REPORT&amp;C&amp;"Times New Roman,Bold"&amp;14 Tiger PAWS of Wheaton Warrenville South
 Profit &amp;&amp; Loss Prev Year Comparison
 July 2017 through June 2018</oddHeader>
    <oddFooter>&amp;R&amp;"Times New Roman,Bold"&amp;14&amp;D</oddFooter>
  </headerFooter>
  <drawing r:id="rId2"/>
  <legacyDrawing r:id="rId3"/>
  <controls>
    <mc:AlternateContent xmlns:mc="http://schemas.openxmlformats.org/markup-compatibility/2006">
      <mc:Choice Requires="x14">
        <control shapeId="1638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16386" r:id="rId4" name="HEADER"/>
      </mc:Fallback>
    </mc:AlternateContent>
    <mc:AlternateContent xmlns:mc="http://schemas.openxmlformats.org/markup-compatibility/2006">
      <mc:Choice Requires="x14">
        <control shapeId="1638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16385" r:id="rId6" name="FILTER"/>
      </mc:Fallback>
    </mc:AlternateContent>
  </control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P88"/>
  <sheetViews>
    <sheetView topLeftCell="A56" workbookViewId="0"/>
  </sheetViews>
  <sheetFormatPr defaultColWidth="8.85546875" defaultRowHeight="15.75" x14ac:dyDescent="0.25"/>
  <cols>
    <col min="1" max="5" width="3" style="2" customWidth="1"/>
    <col min="6" max="6" width="49.42578125" style="2" customWidth="1"/>
    <col min="7" max="7" width="12.5703125" style="3" customWidth="1"/>
    <col min="8" max="8" width="2.42578125" style="3" customWidth="1"/>
    <col min="9" max="9" width="12.42578125" style="3" customWidth="1"/>
    <col min="10" max="10" width="2.42578125" style="3" customWidth="1"/>
    <col min="11" max="11" width="12.85546875" style="3" customWidth="1"/>
    <col min="12" max="12" width="2.42578125" style="3" customWidth="1"/>
    <col min="13" max="13" width="12.85546875" style="3" hidden="1" customWidth="1"/>
    <col min="14" max="14" width="4.85546875" style="1" customWidth="1"/>
    <col min="15" max="15" width="19.42578125" style="3" customWidth="1"/>
    <col min="16" max="16" width="79.140625" style="1" bestFit="1" customWidth="1"/>
    <col min="17" max="16384" width="8.85546875" style="1"/>
  </cols>
  <sheetData>
    <row r="1" spans="1:16" s="7" customFormat="1" ht="19.5" thickBot="1" x14ac:dyDescent="0.35">
      <c r="A1" s="4"/>
      <c r="B1" s="4"/>
      <c r="C1" s="4"/>
      <c r="D1" s="4"/>
      <c r="E1" s="4"/>
      <c r="F1" s="4"/>
      <c r="G1" s="5"/>
      <c r="H1" s="6"/>
      <c r="I1" s="5"/>
      <c r="J1" s="6"/>
      <c r="K1" s="5"/>
      <c r="L1" s="6"/>
      <c r="M1" s="5"/>
      <c r="O1" s="5"/>
    </row>
    <row r="2" spans="1:16" s="35" customFormat="1" ht="45.6" customHeight="1" thickTop="1" thickBot="1" x14ac:dyDescent="0.3">
      <c r="A2" s="32"/>
      <c r="B2" s="32"/>
      <c r="C2" s="32"/>
      <c r="D2" s="32"/>
      <c r="E2" s="32"/>
      <c r="F2" s="32"/>
      <c r="G2" s="33" t="s">
        <v>0</v>
      </c>
      <c r="H2" s="34"/>
      <c r="I2" s="33" t="s">
        <v>1</v>
      </c>
      <c r="J2" s="34"/>
      <c r="K2" s="33" t="s">
        <v>2</v>
      </c>
      <c r="L2" s="34"/>
      <c r="M2" s="33" t="s">
        <v>3</v>
      </c>
      <c r="O2" s="33" t="s">
        <v>72</v>
      </c>
      <c r="P2" s="36" t="s">
        <v>73</v>
      </c>
    </row>
    <row r="3" spans="1:16" s="7" customFormat="1" ht="19.5" thickTop="1" x14ac:dyDescent="0.3">
      <c r="A3" s="4"/>
      <c r="B3" s="4" t="s">
        <v>4</v>
      </c>
      <c r="C3" s="4"/>
      <c r="D3" s="4"/>
      <c r="E3" s="4"/>
      <c r="F3" s="4"/>
      <c r="G3" s="8"/>
      <c r="H3" s="8"/>
      <c r="I3" s="8"/>
      <c r="J3" s="8"/>
      <c r="K3" s="8"/>
      <c r="L3" s="9"/>
      <c r="M3" s="10"/>
      <c r="O3" s="8"/>
    </row>
    <row r="4" spans="1:16" s="7" customFormat="1" ht="18.75" hidden="1" x14ac:dyDescent="0.3">
      <c r="A4" s="4"/>
      <c r="B4" s="4"/>
      <c r="C4" s="4" t="s">
        <v>5</v>
      </c>
      <c r="D4" s="4"/>
      <c r="E4" s="4"/>
      <c r="F4" s="4"/>
      <c r="G4" s="8"/>
      <c r="H4" s="8"/>
      <c r="I4" s="8"/>
      <c r="J4" s="8"/>
      <c r="K4" s="8"/>
      <c r="L4" s="9"/>
      <c r="M4" s="10"/>
      <c r="O4" s="8"/>
    </row>
    <row r="5" spans="1:16" s="7" customFormat="1" ht="18.75" hidden="1" x14ac:dyDescent="0.3">
      <c r="A5" s="4"/>
      <c r="B5" s="4"/>
      <c r="C5" s="4"/>
      <c r="D5" s="4" t="s">
        <v>6</v>
      </c>
      <c r="E5" s="4"/>
      <c r="F5" s="4"/>
      <c r="G5" s="8">
        <v>-1020.79</v>
      </c>
      <c r="H5" s="8"/>
      <c r="I5" s="8">
        <v>-1034.24</v>
      </c>
      <c r="J5" s="8"/>
      <c r="K5" s="8">
        <f t="shared" ref="K5:K10" si="0">ROUND((G5-I5),5)</f>
        <v>13.45</v>
      </c>
      <c r="L5" s="9"/>
      <c r="M5" s="10">
        <f t="shared" ref="M5:M10" si="1">ROUND(IF(G5=0, IF(I5=0, 0, SIGN(-I5)), IF(I5=0, SIGN(G5), (G5-I5)/ABS(I5))),5)</f>
        <v>1.2999999999999999E-2</v>
      </c>
      <c r="O5" s="8"/>
    </row>
    <row r="6" spans="1:16" s="7" customFormat="1" ht="19.5" hidden="1" thickBot="1" x14ac:dyDescent="0.35">
      <c r="A6" s="4"/>
      <c r="B6" s="4"/>
      <c r="C6" s="4"/>
      <c r="D6" s="4" t="s">
        <v>4</v>
      </c>
      <c r="E6" s="4"/>
      <c r="F6" s="4"/>
      <c r="G6" s="11">
        <f>10000+600</f>
        <v>10600</v>
      </c>
      <c r="H6" s="8"/>
      <c r="I6" s="11">
        <v>7823</v>
      </c>
      <c r="J6" s="8"/>
      <c r="K6" s="11">
        <f t="shared" si="0"/>
        <v>2777</v>
      </c>
      <c r="L6" s="9"/>
      <c r="M6" s="12">
        <f t="shared" si="1"/>
        <v>0.35498000000000002</v>
      </c>
      <c r="O6" s="11"/>
    </row>
    <row r="7" spans="1:16" s="7" customFormat="1" ht="23.1" customHeight="1" x14ac:dyDescent="0.3">
      <c r="A7" s="4"/>
      <c r="B7" s="4"/>
      <c r="C7" s="4" t="s">
        <v>7</v>
      </c>
      <c r="D7" s="4"/>
      <c r="E7" s="4"/>
      <c r="F7" s="4"/>
      <c r="G7" s="8">
        <f>ROUND(SUM(G4:G6),5)</f>
        <v>9579.2099999999991</v>
      </c>
      <c r="H7" s="8"/>
      <c r="I7" s="8">
        <f>ROUND(SUM(I4:I6),5)</f>
        <v>6788.76</v>
      </c>
      <c r="J7" s="8"/>
      <c r="K7" s="8">
        <f t="shared" si="0"/>
        <v>2790.45</v>
      </c>
      <c r="L7" s="9"/>
      <c r="M7" s="10">
        <f t="shared" si="1"/>
        <v>0.41104000000000002</v>
      </c>
      <c r="O7" s="8">
        <v>10000</v>
      </c>
    </row>
    <row r="8" spans="1:16" s="7" customFormat="1" ht="23.1" customHeight="1" x14ac:dyDescent="0.3">
      <c r="A8" s="4"/>
      <c r="B8" s="4"/>
      <c r="C8" s="4" t="s">
        <v>8</v>
      </c>
      <c r="D8" s="4"/>
      <c r="E8" s="4"/>
      <c r="F8" s="4"/>
      <c r="G8" s="8">
        <v>0</v>
      </c>
      <c r="H8" s="8"/>
      <c r="I8" s="8">
        <v>3508.57</v>
      </c>
      <c r="J8" s="8"/>
      <c r="K8" s="8">
        <f t="shared" si="0"/>
        <v>-3508.57</v>
      </c>
      <c r="L8" s="9"/>
      <c r="M8" s="10">
        <f t="shared" si="1"/>
        <v>-1</v>
      </c>
      <c r="O8" s="8">
        <v>0</v>
      </c>
    </row>
    <row r="9" spans="1:16" s="7" customFormat="1" ht="23.1" customHeight="1" x14ac:dyDescent="0.3">
      <c r="A9" s="4"/>
      <c r="B9" s="4"/>
      <c r="C9" s="4" t="s">
        <v>9</v>
      </c>
      <c r="D9" s="4"/>
      <c r="E9" s="4"/>
      <c r="F9" s="4"/>
      <c r="G9" s="8">
        <v>0</v>
      </c>
      <c r="H9" s="8"/>
      <c r="I9" s="8">
        <v>8260.84</v>
      </c>
      <c r="J9" s="8"/>
      <c r="K9" s="37">
        <f t="shared" si="0"/>
        <v>-8260.84</v>
      </c>
      <c r="L9" s="9"/>
      <c r="M9" s="10">
        <f t="shared" si="1"/>
        <v>-1</v>
      </c>
      <c r="O9" s="8">
        <v>10000</v>
      </c>
      <c r="P9" s="7" t="s">
        <v>75</v>
      </c>
    </row>
    <row r="10" spans="1:16" s="7" customFormat="1" ht="23.1" customHeight="1" x14ac:dyDescent="0.3">
      <c r="A10" s="4"/>
      <c r="B10" s="4"/>
      <c r="C10" s="4" t="s">
        <v>10</v>
      </c>
      <c r="D10" s="4"/>
      <c r="E10" s="4"/>
      <c r="F10" s="4"/>
      <c r="G10" s="8">
        <v>20.37</v>
      </c>
      <c r="H10" s="8"/>
      <c r="I10" s="8">
        <v>29.02</v>
      </c>
      <c r="J10" s="8"/>
      <c r="K10" s="8">
        <f t="shared" si="0"/>
        <v>-8.65</v>
      </c>
      <c r="L10" s="9"/>
      <c r="M10" s="10">
        <f t="shared" si="1"/>
        <v>-0.29807</v>
      </c>
      <c r="O10" s="8"/>
    </row>
    <row r="11" spans="1:16" s="7" customFormat="1" ht="23.1" hidden="1" customHeight="1" x14ac:dyDescent="0.3">
      <c r="A11" s="4"/>
      <c r="B11" s="4"/>
      <c r="C11" s="4" t="s">
        <v>11</v>
      </c>
      <c r="D11" s="4"/>
      <c r="E11" s="4"/>
      <c r="F11" s="4"/>
      <c r="G11" s="8"/>
      <c r="H11" s="8"/>
      <c r="I11" s="8"/>
      <c r="J11" s="8"/>
      <c r="K11" s="8"/>
      <c r="L11" s="9"/>
      <c r="M11" s="10"/>
      <c r="O11" s="8"/>
    </row>
    <row r="12" spans="1:16" s="7" customFormat="1" ht="23.1" hidden="1" customHeight="1" x14ac:dyDescent="0.3">
      <c r="A12" s="4"/>
      <c r="B12" s="4"/>
      <c r="C12" s="4"/>
      <c r="D12" s="4" t="s">
        <v>6</v>
      </c>
      <c r="E12" s="4"/>
      <c r="F12" s="4"/>
      <c r="G12" s="8">
        <v>0</v>
      </c>
      <c r="H12" s="8"/>
      <c r="I12" s="8">
        <v>-485.32</v>
      </c>
      <c r="J12" s="8"/>
      <c r="K12" s="8">
        <f t="shared" ref="K12:K18" si="2">ROUND((G12-I12),5)</f>
        <v>485.32</v>
      </c>
      <c r="L12" s="9"/>
      <c r="M12" s="10">
        <f t="shared" ref="M12:M18" si="3">ROUND(IF(G12=0, IF(I12=0, 0, SIGN(-I12)), IF(I12=0, SIGN(G12), (G12-I12)/ABS(I12))),5)</f>
        <v>1</v>
      </c>
      <c r="O12" s="8">
        <v>0</v>
      </c>
    </row>
    <row r="13" spans="1:16" s="7" customFormat="1" ht="23.1" hidden="1" customHeight="1" x14ac:dyDescent="0.3">
      <c r="A13" s="4"/>
      <c r="B13" s="4"/>
      <c r="C13" s="4"/>
      <c r="D13" s="4" t="s">
        <v>4</v>
      </c>
      <c r="E13" s="4"/>
      <c r="F13" s="4"/>
      <c r="G13" s="8">
        <v>16804.240000000002</v>
      </c>
      <c r="H13" s="8"/>
      <c r="I13" s="8">
        <v>29767.93</v>
      </c>
      <c r="J13" s="8"/>
      <c r="K13" s="8">
        <f t="shared" si="2"/>
        <v>-12963.69</v>
      </c>
      <c r="L13" s="9"/>
      <c r="M13" s="10">
        <f t="shared" si="3"/>
        <v>-0.43548999999999999</v>
      </c>
      <c r="O13" s="8">
        <v>15000</v>
      </c>
    </row>
    <row r="14" spans="1:16" s="7" customFormat="1" ht="23.1" hidden="1" customHeight="1" x14ac:dyDescent="0.3">
      <c r="A14" s="4"/>
      <c r="B14" s="4"/>
      <c r="C14" s="4"/>
      <c r="D14" s="4" t="s">
        <v>12</v>
      </c>
      <c r="E14" s="4"/>
      <c r="F14" s="4"/>
      <c r="G14" s="8">
        <v>-9347.5499999999993</v>
      </c>
      <c r="H14" s="8"/>
      <c r="I14" s="8">
        <v>-10441.51</v>
      </c>
      <c r="J14" s="8"/>
      <c r="K14" s="8">
        <f t="shared" si="2"/>
        <v>1093.96</v>
      </c>
      <c r="L14" s="9"/>
      <c r="M14" s="10">
        <f t="shared" si="3"/>
        <v>0.10477</v>
      </c>
      <c r="O14" s="8">
        <v>0</v>
      </c>
    </row>
    <row r="15" spans="1:16" s="7" customFormat="1" ht="23.1" hidden="1" customHeight="1" thickBot="1" x14ac:dyDescent="0.35">
      <c r="A15" s="4"/>
      <c r="B15" s="4"/>
      <c r="C15" s="4"/>
      <c r="D15" s="4" t="s">
        <v>13</v>
      </c>
      <c r="E15" s="4"/>
      <c r="F15" s="4"/>
      <c r="G15" s="11">
        <v>10870</v>
      </c>
      <c r="H15" s="8"/>
      <c r="I15" s="11">
        <v>0</v>
      </c>
      <c r="J15" s="8"/>
      <c r="K15" s="11">
        <f t="shared" si="2"/>
        <v>10870</v>
      </c>
      <c r="L15" s="9"/>
      <c r="M15" s="12">
        <f t="shared" si="3"/>
        <v>1</v>
      </c>
      <c r="O15" s="11">
        <v>0</v>
      </c>
    </row>
    <row r="16" spans="1:16" s="7" customFormat="1" ht="23.1" customHeight="1" x14ac:dyDescent="0.3">
      <c r="A16" s="4"/>
      <c r="B16" s="4"/>
      <c r="C16" s="4" t="s">
        <v>14</v>
      </c>
      <c r="D16" s="4"/>
      <c r="E16" s="4"/>
      <c r="F16" s="4"/>
      <c r="G16" s="8">
        <f>ROUND(SUM(G11:G15),5)</f>
        <v>18326.689999999999</v>
      </c>
      <c r="H16" s="8"/>
      <c r="I16" s="8">
        <f>ROUND(SUM(I11:I15),5)</f>
        <v>18841.099999999999</v>
      </c>
      <c r="J16" s="8"/>
      <c r="K16" s="8">
        <f t="shared" si="2"/>
        <v>-514.41</v>
      </c>
      <c r="L16" s="9"/>
      <c r="M16" s="10">
        <f t="shared" si="3"/>
        <v>-2.7300000000000001E-2</v>
      </c>
      <c r="O16" s="8">
        <f>ROUND(SUM(O11:O15),5)</f>
        <v>15000</v>
      </c>
    </row>
    <row r="17" spans="1:16" s="7" customFormat="1" ht="23.1" customHeight="1" x14ac:dyDescent="0.3">
      <c r="A17" s="4"/>
      <c r="B17" s="4"/>
      <c r="C17" s="4" t="s">
        <v>15</v>
      </c>
      <c r="D17" s="4"/>
      <c r="E17" s="4"/>
      <c r="F17" s="4"/>
      <c r="G17" s="8">
        <v>4201.25</v>
      </c>
      <c r="H17" s="8"/>
      <c r="I17" s="8">
        <v>1250</v>
      </c>
      <c r="J17" s="8"/>
      <c r="K17" s="8">
        <f t="shared" si="2"/>
        <v>2951.25</v>
      </c>
      <c r="L17" s="9"/>
      <c r="M17" s="10">
        <f t="shared" si="3"/>
        <v>2.3610000000000002</v>
      </c>
      <c r="O17" s="8"/>
      <c r="P17" s="7" t="s">
        <v>110</v>
      </c>
    </row>
    <row r="18" spans="1:16" s="7" customFormat="1" ht="23.1" customHeight="1" x14ac:dyDescent="0.3">
      <c r="A18" s="4"/>
      <c r="B18" s="4"/>
      <c r="C18" s="4" t="s">
        <v>16</v>
      </c>
      <c r="D18" s="4"/>
      <c r="E18" s="4"/>
      <c r="F18" s="4"/>
      <c r="G18" s="8">
        <v>500</v>
      </c>
      <c r="H18" s="8"/>
      <c r="I18" s="8">
        <v>250</v>
      </c>
      <c r="J18" s="8"/>
      <c r="K18" s="8">
        <f t="shared" si="2"/>
        <v>250</v>
      </c>
      <c r="L18" s="9"/>
      <c r="M18" s="10">
        <f t="shared" si="3"/>
        <v>1</v>
      </c>
      <c r="O18" s="8"/>
      <c r="P18" s="7" t="s">
        <v>78</v>
      </c>
    </row>
    <row r="19" spans="1:16" s="7" customFormat="1" ht="23.1" hidden="1" customHeight="1" x14ac:dyDescent="0.3">
      <c r="A19" s="4"/>
      <c r="B19" s="4"/>
      <c r="C19" s="4" t="s">
        <v>17</v>
      </c>
      <c r="D19" s="4"/>
      <c r="E19" s="4"/>
      <c r="F19" s="4"/>
      <c r="G19" s="8"/>
      <c r="H19" s="8"/>
      <c r="I19" s="8"/>
      <c r="J19" s="8"/>
      <c r="K19" s="8"/>
      <c r="L19" s="9"/>
      <c r="M19" s="10"/>
      <c r="O19" s="8"/>
    </row>
    <row r="20" spans="1:16" s="7" customFormat="1" ht="23.1" hidden="1" customHeight="1" x14ac:dyDescent="0.3">
      <c r="A20" s="4"/>
      <c r="B20" s="4"/>
      <c r="C20" s="4"/>
      <c r="D20" s="4" t="s">
        <v>18</v>
      </c>
      <c r="E20" s="4"/>
      <c r="F20" s="4"/>
      <c r="G20" s="8">
        <v>-418</v>
      </c>
      <c r="H20" s="8"/>
      <c r="I20" s="8">
        <v>-1995.69</v>
      </c>
      <c r="J20" s="8"/>
      <c r="K20" s="8">
        <f>ROUND((G20-I20),5)</f>
        <v>1577.69</v>
      </c>
      <c r="L20" s="9"/>
      <c r="M20" s="10">
        <f>ROUND(IF(G20=0, IF(I20=0, 0, SIGN(-I20)), IF(I20=0, SIGN(G20), (G20-I20)/ABS(I20))),5)</f>
        <v>0.79054999999999997</v>
      </c>
      <c r="O20" s="8">
        <v>15000</v>
      </c>
      <c r="P20" s="7" t="s">
        <v>79</v>
      </c>
    </row>
    <row r="21" spans="1:16" s="7" customFormat="1" ht="23.1" hidden="1" customHeight="1" x14ac:dyDescent="0.3">
      <c r="A21" s="4"/>
      <c r="B21" s="4"/>
      <c r="C21" s="4"/>
      <c r="D21" s="4" t="s">
        <v>19</v>
      </c>
      <c r="E21" s="4"/>
      <c r="F21" s="4"/>
      <c r="G21" s="8"/>
      <c r="H21" s="8"/>
      <c r="I21" s="8"/>
      <c r="J21" s="8"/>
      <c r="K21" s="8"/>
      <c r="L21" s="9"/>
      <c r="M21" s="10"/>
      <c r="O21" s="8"/>
    </row>
    <row r="22" spans="1:16" s="7" customFormat="1" ht="23.1" hidden="1" customHeight="1" x14ac:dyDescent="0.3">
      <c r="A22" s="4"/>
      <c r="B22" s="4"/>
      <c r="C22" s="4"/>
      <c r="D22" s="4"/>
      <c r="E22" s="4" t="s">
        <v>20</v>
      </c>
      <c r="F22" s="4"/>
      <c r="G22" s="8"/>
      <c r="H22" s="8"/>
      <c r="I22" s="8"/>
      <c r="J22" s="8"/>
      <c r="K22" s="8"/>
      <c r="L22" s="9"/>
      <c r="M22" s="10"/>
      <c r="O22" s="8"/>
    </row>
    <row r="23" spans="1:16" s="7" customFormat="1" ht="23.1" hidden="1" customHeight="1" x14ac:dyDescent="0.3">
      <c r="A23" s="4"/>
      <c r="B23" s="4"/>
      <c r="C23" s="4"/>
      <c r="D23" s="4"/>
      <c r="E23" s="4"/>
      <c r="F23" s="4" t="s">
        <v>21</v>
      </c>
      <c r="G23" s="8">
        <v>-12366.43</v>
      </c>
      <c r="H23" s="8"/>
      <c r="I23" s="8">
        <v>-11131.87</v>
      </c>
      <c r="J23" s="8"/>
      <c r="K23" s="8">
        <f>ROUND((G23-I23),5)</f>
        <v>-1234.56</v>
      </c>
      <c r="L23" s="9"/>
      <c r="M23" s="10">
        <f>ROUND(IF(G23=0, IF(I23=0, 0, SIGN(-I23)), IF(I23=0, SIGN(G23), (G23-I23)/ABS(I23))),5)</f>
        <v>-0.1109</v>
      </c>
      <c r="O23" s="8"/>
    </row>
    <row r="24" spans="1:16" s="7" customFormat="1" ht="23.1" hidden="1" customHeight="1" thickBot="1" x14ac:dyDescent="0.35">
      <c r="A24" s="4"/>
      <c r="B24" s="4"/>
      <c r="C24" s="4"/>
      <c r="D24" s="4"/>
      <c r="E24" s="4"/>
      <c r="F24" s="4" t="s">
        <v>22</v>
      </c>
      <c r="G24" s="11">
        <v>25682.86</v>
      </c>
      <c r="H24" s="8"/>
      <c r="I24" s="11">
        <v>23556.31</v>
      </c>
      <c r="J24" s="8"/>
      <c r="K24" s="11">
        <f>ROUND((G24-I24),5)</f>
        <v>2126.5500000000002</v>
      </c>
      <c r="L24" s="9"/>
      <c r="M24" s="12">
        <f>ROUND(IF(G24=0, IF(I24=0, 0, SIGN(-I24)), IF(I24=0, SIGN(G24), (G24-I24)/ABS(I24))),5)</f>
        <v>9.0279999999999999E-2</v>
      </c>
      <c r="O24" s="11"/>
    </row>
    <row r="25" spans="1:16" s="7" customFormat="1" ht="23.1" hidden="1" customHeight="1" x14ac:dyDescent="0.3">
      <c r="A25" s="4"/>
      <c r="B25" s="4"/>
      <c r="C25" s="4"/>
      <c r="D25" s="4"/>
      <c r="E25" s="4" t="s">
        <v>23</v>
      </c>
      <c r="F25" s="4"/>
      <c r="G25" s="8">
        <f>ROUND(SUM(G22:G24),5)</f>
        <v>13316.43</v>
      </c>
      <c r="H25" s="8"/>
      <c r="I25" s="8">
        <f>ROUND(SUM(I22:I24),5)</f>
        <v>12424.44</v>
      </c>
      <c r="J25" s="8"/>
      <c r="K25" s="8">
        <f>ROUND((G25-I25),5)</f>
        <v>891.99</v>
      </c>
      <c r="L25" s="9"/>
      <c r="M25" s="10">
        <f>ROUND(IF(G25=0, IF(I25=0, 0, SIGN(-I25)), IF(I25=0, SIGN(G25), (G25-I25)/ABS(I25))),5)</f>
        <v>7.1790000000000007E-2</v>
      </c>
      <c r="O25" s="8">
        <f>ROUND(SUM(O22:O24),5)</f>
        <v>0</v>
      </c>
    </row>
    <row r="26" spans="1:16" s="7" customFormat="1" ht="23.1" hidden="1" customHeight="1" x14ac:dyDescent="0.3">
      <c r="A26" s="4"/>
      <c r="B26" s="4"/>
      <c r="C26" s="4"/>
      <c r="D26" s="4"/>
      <c r="E26" s="4" t="s">
        <v>24</v>
      </c>
      <c r="F26" s="4"/>
      <c r="G26" s="8"/>
      <c r="H26" s="8"/>
      <c r="I26" s="8"/>
      <c r="J26" s="8"/>
      <c r="K26" s="8"/>
      <c r="L26" s="9"/>
      <c r="M26" s="10"/>
      <c r="O26" s="8"/>
    </row>
    <row r="27" spans="1:16" s="7" customFormat="1" ht="23.1" hidden="1" customHeight="1" x14ac:dyDescent="0.3">
      <c r="A27" s="4"/>
      <c r="B27" s="4"/>
      <c r="C27" s="4"/>
      <c r="D27" s="4"/>
      <c r="E27" s="4"/>
      <c r="F27" s="4" t="s">
        <v>25</v>
      </c>
      <c r="G27" s="8">
        <v>0</v>
      </c>
      <c r="H27" s="8"/>
      <c r="I27" s="8">
        <v>-337.57</v>
      </c>
      <c r="J27" s="8"/>
      <c r="K27" s="8">
        <f>ROUND((G27-I27),5)</f>
        <v>337.57</v>
      </c>
      <c r="L27" s="9"/>
      <c r="M27" s="10">
        <f>ROUND(IF(G27=0, IF(I27=0, 0, SIGN(-I27)), IF(I27=0, SIGN(G27), (G27-I27)/ABS(I27))),5)</f>
        <v>1</v>
      </c>
      <c r="O27" s="8">
        <v>0</v>
      </c>
    </row>
    <row r="28" spans="1:16" s="7" customFormat="1" ht="23.1" hidden="1" customHeight="1" thickBot="1" x14ac:dyDescent="0.35">
      <c r="A28" s="4"/>
      <c r="B28" s="4"/>
      <c r="C28" s="4"/>
      <c r="D28" s="4"/>
      <c r="E28" s="4"/>
      <c r="F28" s="4" t="s">
        <v>26</v>
      </c>
      <c r="G28" s="11">
        <v>788.5</v>
      </c>
      <c r="H28" s="8"/>
      <c r="I28" s="11">
        <v>1102.57</v>
      </c>
      <c r="J28" s="8"/>
      <c r="K28" s="11">
        <f>ROUND((G28-I28),5)</f>
        <v>-314.07</v>
      </c>
      <c r="L28" s="9"/>
      <c r="M28" s="12">
        <f>ROUND(IF(G28=0, IF(I28=0, 0, SIGN(-I28)), IF(I28=0, SIGN(G28), (G28-I28)/ABS(I28))),5)</f>
        <v>-0.28484999999999999</v>
      </c>
      <c r="O28" s="11"/>
    </row>
    <row r="29" spans="1:16" s="7" customFormat="1" ht="23.1" hidden="1" customHeight="1" x14ac:dyDescent="0.3">
      <c r="A29" s="4"/>
      <c r="B29" s="4"/>
      <c r="C29" s="4"/>
      <c r="D29" s="4"/>
      <c r="E29" s="4" t="s">
        <v>27</v>
      </c>
      <c r="F29" s="4"/>
      <c r="G29" s="8">
        <f>ROUND(SUM(G26:G28),5)</f>
        <v>788.5</v>
      </c>
      <c r="H29" s="8"/>
      <c r="I29" s="8">
        <f>ROUND(SUM(I26:I28),5)</f>
        <v>765</v>
      </c>
      <c r="J29" s="8"/>
      <c r="K29" s="8">
        <f>ROUND((G29-I29),5)</f>
        <v>23.5</v>
      </c>
      <c r="L29" s="9"/>
      <c r="M29" s="10">
        <f>ROUND(IF(G29=0, IF(I29=0, 0, SIGN(-I29)), IF(I29=0, SIGN(G29), (G29-I29)/ABS(I29))),5)</f>
        <v>3.0720000000000001E-2</v>
      </c>
      <c r="O29" s="8">
        <f>ROUND(SUM(O26:O28),5)</f>
        <v>0</v>
      </c>
    </row>
    <row r="30" spans="1:16" s="7" customFormat="1" ht="23.1" hidden="1" customHeight="1" thickBot="1" x14ac:dyDescent="0.35">
      <c r="A30" s="4"/>
      <c r="B30" s="4"/>
      <c r="C30" s="4"/>
      <c r="D30" s="4"/>
      <c r="E30" s="4" t="s">
        <v>28</v>
      </c>
      <c r="F30" s="4"/>
      <c r="G30" s="11">
        <f>22.51+474</f>
        <v>496.51</v>
      </c>
      <c r="H30" s="8"/>
      <c r="I30" s="11">
        <v>0</v>
      </c>
      <c r="J30" s="8"/>
      <c r="K30" s="11">
        <f>ROUND((G30-I30),5)</f>
        <v>496.51</v>
      </c>
      <c r="L30" s="9"/>
      <c r="M30" s="12">
        <f>ROUND(IF(G30=0, IF(I30=0, 0, SIGN(-I30)), IF(I30=0, SIGN(G30), (G30-I30)/ABS(I30))),5)</f>
        <v>1</v>
      </c>
      <c r="O30" s="11"/>
      <c r="P30" s="7" t="s">
        <v>89</v>
      </c>
    </row>
    <row r="31" spans="1:16" s="7" customFormat="1" ht="23.1" hidden="1" customHeight="1" x14ac:dyDescent="0.3">
      <c r="A31" s="4"/>
      <c r="B31" s="4"/>
      <c r="C31" s="4"/>
      <c r="D31" s="4" t="s">
        <v>29</v>
      </c>
      <c r="E31" s="4"/>
      <c r="F31" s="4"/>
      <c r="G31" s="8">
        <f>ROUND(G21+G25+SUM(G29:G30),5)</f>
        <v>14601.44</v>
      </c>
      <c r="H31" s="8"/>
      <c r="I31" s="8">
        <f>ROUND(I21+I25+SUM(I29:I30),5)</f>
        <v>13189.44</v>
      </c>
      <c r="J31" s="8"/>
      <c r="K31" s="8">
        <f>ROUND((G31-I31),5)</f>
        <v>1412</v>
      </c>
      <c r="L31" s="9"/>
      <c r="M31" s="10">
        <f>ROUND(IF(G31=0, IF(I31=0, 0, SIGN(-I31)), IF(I31=0, SIGN(G31), (G31-I31)/ABS(I31))),5)</f>
        <v>0.10706</v>
      </c>
      <c r="O31" s="8">
        <f>ROUND(O21+O25+SUM(O29:O30),5)</f>
        <v>0</v>
      </c>
    </row>
    <row r="32" spans="1:16" s="7" customFormat="1" ht="23.1" hidden="1" customHeight="1" x14ac:dyDescent="0.3">
      <c r="A32" s="4"/>
      <c r="B32" s="4"/>
      <c r="C32" s="4"/>
      <c r="D32" s="4" t="s">
        <v>30</v>
      </c>
      <c r="E32" s="4"/>
      <c r="F32" s="4"/>
      <c r="G32" s="8"/>
      <c r="H32" s="8"/>
      <c r="I32" s="8"/>
      <c r="J32" s="8"/>
      <c r="K32" s="8"/>
      <c r="L32" s="9"/>
      <c r="M32" s="10"/>
      <c r="O32" s="8"/>
    </row>
    <row r="33" spans="1:16" s="7" customFormat="1" ht="23.1" hidden="1" customHeight="1" x14ac:dyDescent="0.3">
      <c r="A33" s="4"/>
      <c r="B33" s="4"/>
      <c r="C33" s="4"/>
      <c r="D33" s="4"/>
      <c r="E33" s="4" t="s">
        <v>31</v>
      </c>
      <c r="F33" s="4"/>
      <c r="G33" s="8"/>
      <c r="H33" s="8"/>
      <c r="I33" s="8"/>
      <c r="J33" s="8"/>
      <c r="K33" s="8"/>
      <c r="L33" s="9"/>
      <c r="M33" s="10"/>
      <c r="O33" s="8"/>
    </row>
    <row r="34" spans="1:16" s="7" customFormat="1" ht="23.1" hidden="1" customHeight="1" x14ac:dyDescent="0.3">
      <c r="A34" s="4"/>
      <c r="B34" s="4"/>
      <c r="C34" s="4"/>
      <c r="D34" s="4"/>
      <c r="E34" s="4"/>
      <c r="F34" s="4" t="s">
        <v>32</v>
      </c>
      <c r="G34" s="8">
        <v>0</v>
      </c>
      <c r="H34" s="8"/>
      <c r="I34" s="8">
        <v>-612.5</v>
      </c>
      <c r="J34" s="8"/>
      <c r="K34" s="8">
        <f>ROUND((G34-I34),5)</f>
        <v>612.5</v>
      </c>
      <c r="L34" s="9"/>
      <c r="M34" s="10">
        <f>ROUND(IF(G34=0, IF(I34=0, 0, SIGN(-I34)), IF(I34=0, SIGN(G34), (G34-I34)/ABS(I34))),5)</f>
        <v>1</v>
      </c>
      <c r="O34" s="8">
        <v>0</v>
      </c>
    </row>
    <row r="35" spans="1:16" s="7" customFormat="1" ht="23.1" hidden="1" customHeight="1" x14ac:dyDescent="0.3">
      <c r="A35" s="4"/>
      <c r="B35" s="4"/>
      <c r="C35" s="4"/>
      <c r="D35" s="4"/>
      <c r="E35" s="4"/>
      <c r="F35" s="4" t="s">
        <v>33</v>
      </c>
      <c r="G35" s="8">
        <v>0</v>
      </c>
      <c r="H35" s="8"/>
      <c r="I35" s="8">
        <v>-375</v>
      </c>
      <c r="J35" s="8"/>
      <c r="K35" s="8">
        <f>ROUND((G35-I35),5)</f>
        <v>375</v>
      </c>
      <c r="L35" s="9"/>
      <c r="M35" s="10">
        <f>ROUND(IF(G35=0, IF(I35=0, 0, SIGN(-I35)), IF(I35=0, SIGN(G35), (G35-I35)/ABS(I35))),5)</f>
        <v>1</v>
      </c>
      <c r="O35" s="8">
        <v>0</v>
      </c>
    </row>
    <row r="36" spans="1:16" s="7" customFormat="1" ht="23.1" hidden="1" customHeight="1" thickBot="1" x14ac:dyDescent="0.35">
      <c r="A36" s="4"/>
      <c r="B36" s="4"/>
      <c r="C36" s="4"/>
      <c r="D36" s="4"/>
      <c r="E36" s="4"/>
      <c r="F36" s="4" t="s">
        <v>34</v>
      </c>
      <c r="G36" s="11">
        <v>0</v>
      </c>
      <c r="H36" s="8"/>
      <c r="I36" s="11">
        <v>-5279.75</v>
      </c>
      <c r="J36" s="8"/>
      <c r="K36" s="11">
        <f>ROUND((G36-I36),5)</f>
        <v>5279.75</v>
      </c>
      <c r="L36" s="9"/>
      <c r="M36" s="12">
        <f>ROUND(IF(G36=0, IF(I36=0, 0, SIGN(-I36)), IF(I36=0, SIGN(G36), (G36-I36)/ABS(I36))),5)</f>
        <v>1</v>
      </c>
      <c r="O36" s="11">
        <v>0</v>
      </c>
    </row>
    <row r="37" spans="1:16" s="7" customFormat="1" ht="23.1" hidden="1" customHeight="1" x14ac:dyDescent="0.3">
      <c r="A37" s="4"/>
      <c r="B37" s="4"/>
      <c r="C37" s="4"/>
      <c r="D37" s="4"/>
      <c r="E37" s="4" t="s">
        <v>35</v>
      </c>
      <c r="F37" s="4"/>
      <c r="G37" s="8">
        <f>ROUND(SUM(G33:G36),5)</f>
        <v>0</v>
      </c>
      <c r="H37" s="8"/>
      <c r="I37" s="8">
        <f>ROUND(SUM(I33:I36),5)</f>
        <v>-6267.25</v>
      </c>
      <c r="J37" s="8"/>
      <c r="K37" s="8">
        <f>ROUND((G37-I37),5)</f>
        <v>6267.25</v>
      </c>
      <c r="L37" s="9"/>
      <c r="M37" s="10">
        <f>ROUND(IF(G37=0, IF(I37=0, 0, SIGN(-I37)), IF(I37=0, SIGN(G37), (G37-I37)/ABS(I37))),5)</f>
        <v>1</v>
      </c>
      <c r="O37" s="8">
        <f>ROUND(SUM(O33:O36),5)</f>
        <v>0</v>
      </c>
    </row>
    <row r="38" spans="1:16" s="7" customFormat="1" ht="23.1" hidden="1" customHeight="1" x14ac:dyDescent="0.3">
      <c r="A38" s="4"/>
      <c r="B38" s="4"/>
      <c r="C38" s="4"/>
      <c r="D38" s="4"/>
      <c r="E38" s="4" t="s">
        <v>36</v>
      </c>
      <c r="F38" s="4"/>
      <c r="G38" s="8"/>
      <c r="H38" s="8"/>
      <c r="I38" s="8"/>
      <c r="J38" s="8"/>
      <c r="K38" s="8"/>
      <c r="L38" s="9"/>
      <c r="M38" s="10"/>
      <c r="O38" s="8"/>
    </row>
    <row r="39" spans="1:16" s="7" customFormat="1" ht="23.1" hidden="1" customHeight="1" x14ac:dyDescent="0.3">
      <c r="A39" s="4"/>
      <c r="B39" s="4"/>
      <c r="C39" s="4"/>
      <c r="D39" s="4"/>
      <c r="E39" s="4"/>
      <c r="F39" s="4" t="s">
        <v>37</v>
      </c>
      <c r="G39" s="8">
        <v>0</v>
      </c>
      <c r="H39" s="8"/>
      <c r="I39" s="8">
        <v>220.5</v>
      </c>
      <c r="J39" s="8"/>
      <c r="K39" s="8">
        <f t="shared" ref="K39:K47" si="4">ROUND((G39-I39),5)</f>
        <v>-220.5</v>
      </c>
      <c r="L39" s="9"/>
      <c r="M39" s="10">
        <f t="shared" ref="M39:M47" si="5">ROUND(IF(G39=0, IF(I39=0, 0, SIGN(-I39)), IF(I39=0, SIGN(G39), (G39-I39)/ABS(I39))),5)</f>
        <v>-1</v>
      </c>
      <c r="O39" s="8">
        <v>0</v>
      </c>
    </row>
    <row r="40" spans="1:16" s="7" customFormat="1" ht="23.1" hidden="1" customHeight="1" x14ac:dyDescent="0.3">
      <c r="A40" s="4"/>
      <c r="B40" s="4"/>
      <c r="C40" s="4"/>
      <c r="D40" s="4"/>
      <c r="E40" s="4"/>
      <c r="F40" s="4" t="s">
        <v>32</v>
      </c>
      <c r="G40" s="8">
        <v>0</v>
      </c>
      <c r="H40" s="8"/>
      <c r="I40" s="8">
        <v>6895</v>
      </c>
      <c r="J40" s="8"/>
      <c r="K40" s="8">
        <f t="shared" si="4"/>
        <v>-6895</v>
      </c>
      <c r="L40" s="9"/>
      <c r="M40" s="10">
        <f t="shared" si="5"/>
        <v>-1</v>
      </c>
      <c r="O40" s="8">
        <v>0</v>
      </c>
    </row>
    <row r="41" spans="1:16" s="7" customFormat="1" ht="23.1" hidden="1" customHeight="1" x14ac:dyDescent="0.3">
      <c r="A41" s="4"/>
      <c r="B41" s="4"/>
      <c r="C41" s="4"/>
      <c r="D41" s="4"/>
      <c r="E41" s="4"/>
      <c r="F41" s="4" t="s">
        <v>38</v>
      </c>
      <c r="G41" s="8">
        <v>0</v>
      </c>
      <c r="H41" s="8"/>
      <c r="I41" s="8">
        <v>459</v>
      </c>
      <c r="J41" s="8"/>
      <c r="K41" s="8">
        <f t="shared" si="4"/>
        <v>-459</v>
      </c>
      <c r="L41" s="9"/>
      <c r="M41" s="10">
        <f t="shared" si="5"/>
        <v>-1</v>
      </c>
      <c r="O41" s="8">
        <v>0</v>
      </c>
    </row>
    <row r="42" spans="1:16" s="7" customFormat="1" ht="23.1" hidden="1" customHeight="1" x14ac:dyDescent="0.3">
      <c r="A42" s="4"/>
      <c r="B42" s="4"/>
      <c r="C42" s="4"/>
      <c r="D42" s="4"/>
      <c r="E42" s="4"/>
      <c r="F42" s="4" t="s">
        <v>33</v>
      </c>
      <c r="G42" s="8">
        <v>0</v>
      </c>
      <c r="H42" s="8"/>
      <c r="I42" s="8">
        <v>4171.5200000000004</v>
      </c>
      <c r="J42" s="8"/>
      <c r="K42" s="8">
        <f t="shared" si="4"/>
        <v>-4171.5200000000004</v>
      </c>
      <c r="L42" s="9"/>
      <c r="M42" s="10">
        <f t="shared" si="5"/>
        <v>-1</v>
      </c>
      <c r="O42" s="8">
        <v>0</v>
      </c>
    </row>
    <row r="43" spans="1:16" s="7" customFormat="1" ht="23.1" hidden="1" customHeight="1" thickBot="1" x14ac:dyDescent="0.35">
      <c r="A43" s="4"/>
      <c r="B43" s="4"/>
      <c r="C43" s="4"/>
      <c r="D43" s="4"/>
      <c r="E43" s="4"/>
      <c r="F43" s="4" t="s">
        <v>39</v>
      </c>
      <c r="G43" s="11">
        <v>0</v>
      </c>
      <c r="H43" s="8"/>
      <c r="I43" s="11">
        <v>26</v>
      </c>
      <c r="J43" s="8"/>
      <c r="K43" s="11">
        <f t="shared" si="4"/>
        <v>-26</v>
      </c>
      <c r="L43" s="9"/>
      <c r="M43" s="12">
        <f t="shared" si="5"/>
        <v>-1</v>
      </c>
      <c r="O43" s="11">
        <v>0</v>
      </c>
    </row>
    <row r="44" spans="1:16" s="7" customFormat="1" ht="23.1" hidden="1" customHeight="1" x14ac:dyDescent="0.3">
      <c r="A44" s="4"/>
      <c r="B44" s="4"/>
      <c r="C44" s="4"/>
      <c r="D44" s="4"/>
      <c r="E44" s="4" t="s">
        <v>40</v>
      </c>
      <c r="F44" s="4"/>
      <c r="G44" s="8">
        <f>ROUND(SUM(G38:G43),5)</f>
        <v>0</v>
      </c>
      <c r="H44" s="8"/>
      <c r="I44" s="8">
        <f>ROUND(SUM(I38:I43),5)</f>
        <v>11772.02</v>
      </c>
      <c r="J44" s="8"/>
      <c r="K44" s="8">
        <f t="shared" si="4"/>
        <v>-11772.02</v>
      </c>
      <c r="L44" s="9"/>
      <c r="M44" s="10">
        <f t="shared" si="5"/>
        <v>-1</v>
      </c>
      <c r="O44" s="8">
        <f>ROUND(SUM(O38:O43),5)</f>
        <v>0</v>
      </c>
    </row>
    <row r="45" spans="1:16" s="7" customFormat="1" ht="23.1" hidden="1" customHeight="1" thickBot="1" x14ac:dyDescent="0.35">
      <c r="A45" s="4"/>
      <c r="B45" s="4"/>
      <c r="C45" s="4"/>
      <c r="D45" s="4"/>
      <c r="E45" s="4" t="s">
        <v>41</v>
      </c>
      <c r="F45" s="4"/>
      <c r="G45" s="13">
        <v>220.5</v>
      </c>
      <c r="H45" s="8"/>
      <c r="I45" s="13">
        <v>0</v>
      </c>
      <c r="J45" s="8"/>
      <c r="K45" s="13">
        <f t="shared" si="4"/>
        <v>220.5</v>
      </c>
      <c r="L45" s="9"/>
      <c r="M45" s="14">
        <f t="shared" si="5"/>
        <v>1</v>
      </c>
      <c r="O45" s="13"/>
      <c r="P45" s="7" t="s">
        <v>83</v>
      </c>
    </row>
    <row r="46" spans="1:16" s="7" customFormat="1" ht="23.1" hidden="1" customHeight="1" thickBot="1" x14ac:dyDescent="0.35">
      <c r="A46" s="4"/>
      <c r="B46" s="4"/>
      <c r="C46" s="4"/>
      <c r="D46" s="4" t="s">
        <v>42</v>
      </c>
      <c r="E46" s="4"/>
      <c r="F46" s="4"/>
      <c r="G46" s="15">
        <f>ROUND(G32+G37+SUM(G44:G45),5)</f>
        <v>220.5</v>
      </c>
      <c r="H46" s="8"/>
      <c r="I46" s="15">
        <f>ROUND(I32+I37+SUM(I44:I45),5)</f>
        <v>5504.77</v>
      </c>
      <c r="J46" s="8"/>
      <c r="K46" s="15">
        <f t="shared" si="4"/>
        <v>-5284.27</v>
      </c>
      <c r="L46" s="9"/>
      <c r="M46" s="16">
        <f t="shared" si="5"/>
        <v>-0.95994000000000002</v>
      </c>
      <c r="O46" s="15">
        <f>ROUND(O32+O37+SUM(O44:O45),5)</f>
        <v>0</v>
      </c>
    </row>
    <row r="47" spans="1:16" s="7" customFormat="1" ht="23.1" customHeight="1" x14ac:dyDescent="0.3">
      <c r="A47" s="4"/>
      <c r="B47" s="4"/>
      <c r="C47" s="4" t="s">
        <v>43</v>
      </c>
      <c r="D47" s="4"/>
      <c r="E47" s="4"/>
      <c r="F47" s="4"/>
      <c r="G47" s="8">
        <f>ROUND(SUM(G19:G20)+G31+G46,5)</f>
        <v>14403.94</v>
      </c>
      <c r="H47" s="8"/>
      <c r="I47" s="8">
        <f>ROUND(SUM(I19:I20)+I31+I46,5)</f>
        <v>16698.52</v>
      </c>
      <c r="J47" s="8"/>
      <c r="K47" s="8">
        <f t="shared" si="4"/>
        <v>-2294.58</v>
      </c>
      <c r="L47" s="9"/>
      <c r="M47" s="10">
        <f t="shared" si="5"/>
        <v>-0.13741</v>
      </c>
      <c r="O47" s="8">
        <f>ROUND(SUM(O19:O20)+O31+O46,5)</f>
        <v>15000</v>
      </c>
    </row>
    <row r="48" spans="1:16" s="7" customFormat="1" ht="18.75" hidden="1" x14ac:dyDescent="0.3">
      <c r="A48" s="4"/>
      <c r="B48" s="4"/>
      <c r="C48" s="4" t="s">
        <v>44</v>
      </c>
      <c r="D48" s="4"/>
      <c r="E48" s="4"/>
      <c r="F48" s="4"/>
      <c r="G48" s="8"/>
      <c r="H48" s="8"/>
      <c r="I48" s="8"/>
      <c r="J48" s="8"/>
      <c r="K48" s="8"/>
      <c r="L48" s="9"/>
      <c r="M48" s="10"/>
      <c r="O48" s="8"/>
    </row>
    <row r="49" spans="1:16" s="7" customFormat="1" ht="19.5" hidden="1" thickBot="1" x14ac:dyDescent="0.35">
      <c r="A49" s="4"/>
      <c r="B49" s="4"/>
      <c r="C49" s="4"/>
      <c r="D49" s="4" t="s">
        <v>4</v>
      </c>
      <c r="E49" s="4"/>
      <c r="F49" s="4"/>
      <c r="G49" s="11">
        <v>1910.56</v>
      </c>
      <c r="H49" s="8"/>
      <c r="I49" s="11">
        <v>4116.96</v>
      </c>
      <c r="J49" s="8"/>
      <c r="K49" s="11">
        <f>ROUND((G49-I49),5)</f>
        <v>-2206.4</v>
      </c>
      <c r="L49" s="9"/>
      <c r="M49" s="12">
        <f>ROUND(IF(G49=0, IF(I49=0, 0, SIGN(-I49)), IF(I49=0, SIGN(G49), (G49-I49)/ABS(I49))),5)</f>
        <v>-0.53593000000000002</v>
      </c>
      <c r="O49" s="11">
        <v>4000</v>
      </c>
      <c r="P49" s="7" t="s">
        <v>91</v>
      </c>
    </row>
    <row r="50" spans="1:16" s="7" customFormat="1" ht="23.1" customHeight="1" x14ac:dyDescent="0.3">
      <c r="A50" s="4"/>
      <c r="B50" s="4"/>
      <c r="C50" s="4" t="s">
        <v>45</v>
      </c>
      <c r="D50" s="4"/>
      <c r="E50" s="4"/>
      <c r="F50" s="4"/>
      <c r="G50" s="8">
        <f>ROUND(SUM(G48:G49),5)</f>
        <v>1910.56</v>
      </c>
      <c r="H50" s="8"/>
      <c r="I50" s="8">
        <f>ROUND(SUM(I48:I49),5)</f>
        <v>4116.96</v>
      </c>
      <c r="J50" s="8"/>
      <c r="K50" s="8">
        <f>ROUND((G50-I50),5)</f>
        <v>-2206.4</v>
      </c>
      <c r="L50" s="9"/>
      <c r="M50" s="10">
        <f>ROUND(IF(G50=0, IF(I50=0, 0, SIGN(-I50)), IF(I50=0, SIGN(G50), (G50-I50)/ABS(I50))),5)</f>
        <v>-0.53593000000000002</v>
      </c>
      <c r="O50" s="8">
        <f>ROUND(SUM(O48:O49),5)</f>
        <v>4000</v>
      </c>
      <c r="P50" s="26"/>
    </row>
    <row r="51" spans="1:16" s="7" customFormat="1" ht="23.1" hidden="1" customHeight="1" x14ac:dyDescent="0.3">
      <c r="A51" s="4"/>
      <c r="B51" s="4"/>
      <c r="C51" s="4" t="s">
        <v>46</v>
      </c>
      <c r="D51" s="4"/>
      <c r="E51" s="4"/>
      <c r="F51" s="4"/>
      <c r="G51" s="8"/>
      <c r="H51" s="8"/>
      <c r="I51" s="8"/>
      <c r="J51" s="8"/>
      <c r="K51" s="8"/>
      <c r="L51" s="9"/>
      <c r="M51" s="10"/>
      <c r="O51" s="8"/>
    </row>
    <row r="52" spans="1:16" s="7" customFormat="1" ht="23.1" hidden="1" customHeight="1" thickBot="1" x14ac:dyDescent="0.35">
      <c r="A52" s="4"/>
      <c r="B52" s="4"/>
      <c r="C52" s="4"/>
      <c r="D52" s="4" t="s">
        <v>4</v>
      </c>
      <c r="E52" s="4"/>
      <c r="F52" s="4"/>
      <c r="G52" s="11">
        <v>1322</v>
      </c>
      <c r="H52" s="8"/>
      <c r="I52" s="11">
        <v>1752</v>
      </c>
      <c r="J52" s="8"/>
      <c r="K52" s="11">
        <f>ROUND((G52-I52),5)</f>
        <v>-430</v>
      </c>
      <c r="L52" s="9"/>
      <c r="M52" s="12">
        <f>ROUND(IF(G52=0, IF(I52=0, 0, SIGN(-I52)), IF(I52=0, SIGN(G52), (G52-I52)/ABS(I52))),5)</f>
        <v>-0.24543000000000001</v>
      </c>
      <c r="O52" s="11">
        <v>1750</v>
      </c>
    </row>
    <row r="53" spans="1:16" s="7" customFormat="1" ht="23.1" customHeight="1" x14ac:dyDescent="0.3">
      <c r="A53" s="4"/>
      <c r="B53" s="4"/>
      <c r="C53" s="4" t="s">
        <v>47</v>
      </c>
      <c r="D53" s="4"/>
      <c r="E53" s="4"/>
      <c r="F53" s="4"/>
      <c r="G53" s="8">
        <f>ROUND(SUM(G51:G52),5)</f>
        <v>1322</v>
      </c>
      <c r="H53" s="8"/>
      <c r="I53" s="8">
        <f>ROUND(SUM(I51:I52),5)</f>
        <v>1752</v>
      </c>
      <c r="J53" s="8"/>
      <c r="K53" s="8">
        <f>ROUND((G53-I53),5)</f>
        <v>-430</v>
      </c>
      <c r="L53" s="9"/>
      <c r="M53" s="10">
        <f>ROUND(IF(G53=0, IF(I53=0, 0, SIGN(-I53)), IF(I53=0, SIGN(G53), (G53-I53)/ABS(I53))),5)</f>
        <v>-0.24543000000000001</v>
      </c>
      <c r="O53" s="8">
        <f>ROUND(SUM(O51:O52),5)</f>
        <v>1750</v>
      </c>
    </row>
    <row r="54" spans="1:16" s="7" customFormat="1" ht="23.1" customHeight="1" x14ac:dyDescent="0.3">
      <c r="A54" s="4"/>
      <c r="B54" s="4"/>
      <c r="C54" s="4" t="s">
        <v>48</v>
      </c>
      <c r="D54" s="4"/>
      <c r="E54" s="4"/>
      <c r="F54" s="4"/>
      <c r="G54" s="8">
        <v>2000</v>
      </c>
      <c r="H54" s="8"/>
      <c r="I54" s="8">
        <v>0</v>
      </c>
      <c r="J54" s="8"/>
      <c r="K54" s="8">
        <f>ROUND((G54-I54),5)</f>
        <v>2000</v>
      </c>
      <c r="L54" s="9"/>
      <c r="M54" s="10">
        <f>ROUND(IF(G54=0, IF(I54=0, 0, SIGN(-I54)), IF(I54=0, SIGN(G54), (G54-I54)/ABS(I54))),5)</f>
        <v>1</v>
      </c>
      <c r="O54" s="8"/>
      <c r="P54" s="7" t="s">
        <v>111</v>
      </c>
    </row>
    <row r="55" spans="1:16" s="7" customFormat="1" ht="23.45" customHeight="1" x14ac:dyDescent="0.3">
      <c r="A55" s="4"/>
      <c r="B55" s="4"/>
      <c r="C55" s="4" t="s">
        <v>49</v>
      </c>
      <c r="D55" s="4"/>
      <c r="E55" s="4"/>
      <c r="F55" s="4"/>
      <c r="G55" s="8"/>
      <c r="H55" s="8"/>
      <c r="I55" s="8"/>
      <c r="J55" s="8"/>
      <c r="K55" s="8"/>
      <c r="L55" s="9"/>
      <c r="M55" s="10"/>
      <c r="O55" s="8"/>
    </row>
    <row r="56" spans="1:16" s="7" customFormat="1" ht="23.45" customHeight="1" x14ac:dyDescent="0.3">
      <c r="A56" s="4"/>
      <c r="B56" s="4"/>
      <c r="C56" s="4"/>
      <c r="D56" s="4" t="s">
        <v>6</v>
      </c>
      <c r="E56" s="4"/>
      <c r="F56" s="4"/>
      <c r="G56" s="8">
        <v>-23207.94</v>
      </c>
      <c r="H56" s="8"/>
      <c r="I56" s="8">
        <v>-20750.849999999999</v>
      </c>
      <c r="J56" s="8"/>
      <c r="K56" s="8">
        <f>ROUND((G56-I56),5)</f>
        <v>-2457.09</v>
      </c>
      <c r="L56" s="9"/>
      <c r="M56" s="10">
        <f>ROUND(IF(G56=0, IF(I56=0, 0, SIGN(-I56)), IF(I56=0, SIGN(G56), (G56-I56)/ABS(I56))),5)</f>
        <v>-0.11841</v>
      </c>
      <c r="O56" s="8"/>
    </row>
    <row r="57" spans="1:16" s="7" customFormat="1" ht="23.45" customHeight="1" thickBot="1" x14ac:dyDescent="0.35">
      <c r="A57" s="4"/>
      <c r="B57" s="4"/>
      <c r="C57" s="4"/>
      <c r="D57" s="4" t="s">
        <v>4</v>
      </c>
      <c r="E57" s="4"/>
      <c r="F57" s="4"/>
      <c r="G57" s="11">
        <v>25863.86</v>
      </c>
      <c r="H57" s="8"/>
      <c r="I57" s="11">
        <v>27147.74</v>
      </c>
      <c r="J57" s="8"/>
      <c r="K57" s="11">
        <f>ROUND((G57-I57),5)</f>
        <v>-1283.8800000000001</v>
      </c>
      <c r="L57" s="9"/>
      <c r="M57" s="12">
        <f>ROUND(IF(G57=0, IF(I57=0, 0, SIGN(-I57)), IF(I57=0, SIGN(G57), (G57-I57)/ABS(I57))),5)</f>
        <v>-4.7289999999999999E-2</v>
      </c>
      <c r="O57" s="11">
        <v>5000</v>
      </c>
    </row>
    <row r="58" spans="1:16" s="7" customFormat="1" ht="23.1" customHeight="1" thickBot="1" x14ac:dyDescent="0.35">
      <c r="A58" s="4"/>
      <c r="B58" s="4"/>
      <c r="C58" s="4" t="s">
        <v>50</v>
      </c>
      <c r="D58" s="4"/>
      <c r="E58" s="4"/>
      <c r="F58" s="4"/>
      <c r="G58" s="8">
        <f>ROUND(SUM(G55:G57),5)</f>
        <v>2655.92</v>
      </c>
      <c r="H58" s="8"/>
      <c r="I58" s="8">
        <f>ROUND(SUM(I55:I57),5)</f>
        <v>6396.89</v>
      </c>
      <c r="J58" s="8"/>
      <c r="K58" s="37">
        <f>ROUND((G58-I58),5)</f>
        <v>-3740.97</v>
      </c>
      <c r="L58" s="9"/>
      <c r="M58" s="10">
        <f>ROUND(IF(G58=0, IF(I58=0, 0, SIGN(-I58)), IF(I58=0, SIGN(G58), (G58-I58)/ABS(I58))),5)</f>
        <v>-0.58481000000000005</v>
      </c>
      <c r="O58" s="8">
        <f>ROUND(SUM(O55:O57),5)</f>
        <v>5000</v>
      </c>
      <c r="P58" s="265" t="s">
        <v>109</v>
      </c>
    </row>
    <row r="59" spans="1:16" s="7" customFormat="1" ht="23.1" hidden="1" customHeight="1" x14ac:dyDescent="0.3">
      <c r="A59" s="4"/>
      <c r="B59" s="4"/>
      <c r="C59" s="4" t="s">
        <v>51</v>
      </c>
      <c r="D59" s="4"/>
      <c r="E59" s="4"/>
      <c r="F59" s="4"/>
      <c r="G59" s="8"/>
      <c r="H59" s="8"/>
      <c r="I59" s="8"/>
      <c r="J59" s="8"/>
      <c r="K59" s="8"/>
      <c r="L59" s="9"/>
      <c r="M59" s="10"/>
      <c r="O59" s="8"/>
      <c r="P59" s="265"/>
    </row>
    <row r="60" spans="1:16" s="7" customFormat="1" ht="23.1" hidden="1" customHeight="1" x14ac:dyDescent="0.3">
      <c r="A60" s="4"/>
      <c r="B60" s="4"/>
      <c r="C60" s="4"/>
      <c r="D60" s="4" t="s">
        <v>6</v>
      </c>
      <c r="E60" s="4"/>
      <c r="F60" s="4"/>
      <c r="G60" s="8">
        <v>-36</v>
      </c>
      <c r="H60" s="8"/>
      <c r="I60" s="8">
        <v>-270</v>
      </c>
      <c r="J60" s="8"/>
      <c r="K60" s="8">
        <f>ROUND((G60-I60),5)</f>
        <v>234</v>
      </c>
      <c r="L60" s="9"/>
      <c r="M60" s="10">
        <f>ROUND(IF(G60=0, IF(I60=0, 0, SIGN(-I60)), IF(I60=0, SIGN(G60), (G60-I60)/ABS(I60))),5)</f>
        <v>0.86667000000000005</v>
      </c>
      <c r="O60" s="8"/>
      <c r="P60" s="265"/>
    </row>
    <row r="61" spans="1:16" s="7" customFormat="1" ht="23.1" hidden="1" customHeight="1" thickBot="1" x14ac:dyDescent="0.35">
      <c r="A61" s="4"/>
      <c r="B61" s="4"/>
      <c r="C61" s="4"/>
      <c r="D61" s="4" t="s">
        <v>4</v>
      </c>
      <c r="E61" s="4"/>
      <c r="F61" s="4"/>
      <c r="G61" s="13">
        <v>0</v>
      </c>
      <c r="H61" s="8"/>
      <c r="I61" s="13">
        <v>205</v>
      </c>
      <c r="J61" s="8"/>
      <c r="K61" s="13">
        <f>ROUND((G61-I61),5)</f>
        <v>-205</v>
      </c>
      <c r="L61" s="9"/>
      <c r="M61" s="14">
        <f>ROUND(IF(G61=0, IF(I61=0, 0, SIGN(-I61)), IF(I61=0, SIGN(G61), (G61-I61)/ABS(I61))),5)</f>
        <v>-1</v>
      </c>
      <c r="O61" s="13">
        <v>200</v>
      </c>
      <c r="P61" s="265"/>
    </row>
    <row r="62" spans="1:16" s="7" customFormat="1" ht="23.1" customHeight="1" thickBot="1" x14ac:dyDescent="0.35">
      <c r="A62" s="4"/>
      <c r="B62" s="4"/>
      <c r="C62" s="4" t="s">
        <v>52</v>
      </c>
      <c r="D62" s="4"/>
      <c r="E62" s="4"/>
      <c r="F62" s="4"/>
      <c r="G62" s="15">
        <f>ROUND(SUM(G59:G61),5)</f>
        <v>-36</v>
      </c>
      <c r="H62" s="8"/>
      <c r="I62" s="15">
        <f>ROUND(SUM(I59:I61),5)</f>
        <v>-65</v>
      </c>
      <c r="J62" s="8"/>
      <c r="K62" s="15">
        <f>ROUND((G62-I62),5)</f>
        <v>29</v>
      </c>
      <c r="L62" s="9"/>
      <c r="M62" s="16">
        <f>ROUND(IF(G62=0, IF(I62=0, 0, SIGN(-I62)), IF(I62=0, SIGN(G62), (G62-I62)/ABS(I62))),5)</f>
        <v>0.44614999999999999</v>
      </c>
      <c r="O62" s="15">
        <f>ROUND(SUM(O59:O61),5)</f>
        <v>200</v>
      </c>
      <c r="P62" s="265"/>
    </row>
    <row r="63" spans="1:16" s="7" customFormat="1" ht="23.1" customHeight="1" x14ac:dyDescent="0.3">
      <c r="A63" s="4"/>
      <c r="B63" s="4" t="s">
        <v>53</v>
      </c>
      <c r="C63" s="4"/>
      <c r="D63" s="4"/>
      <c r="E63" s="4"/>
      <c r="F63" s="4"/>
      <c r="G63" s="8">
        <f>ROUND(G3+SUM(G7:G10)+SUM(G16:G18)+G47+G50+SUM(G53:G54)+G58+G62,5)</f>
        <v>54883.94</v>
      </c>
      <c r="H63" s="8"/>
      <c r="I63" s="8">
        <f>ROUND(I3+SUM(I7:I10)+SUM(I16:I18)+I47+I50+SUM(I53:I54)+I58+I62,5)</f>
        <v>67827.66</v>
      </c>
      <c r="J63" s="8"/>
      <c r="K63" s="8">
        <f>ROUND((G63-I63),5)</f>
        <v>-12943.72</v>
      </c>
      <c r="L63" s="9"/>
      <c r="M63" s="10">
        <f>ROUND(IF(G63=0, IF(I63=0, 0, SIGN(-I63)), IF(I63=0, SIGN(G63), (G63-I63)/ABS(I63))),5)</f>
        <v>-0.19083</v>
      </c>
      <c r="O63" s="8">
        <f>ROUND(O3+SUM(O7:O10)+SUM(O16:O18)+O47+O50+SUM(O53:O54)+O58+O62,5)</f>
        <v>60950</v>
      </c>
    </row>
    <row r="64" spans="1:16" s="7" customFormat="1" ht="23.1" customHeight="1" x14ac:dyDescent="0.3">
      <c r="A64" s="4"/>
      <c r="B64" s="4" t="s">
        <v>6</v>
      </c>
      <c r="C64" s="4"/>
      <c r="D64" s="4"/>
      <c r="E64" s="4"/>
      <c r="F64" s="4"/>
      <c r="G64" s="8"/>
      <c r="H64" s="8"/>
      <c r="I64" s="8"/>
      <c r="J64" s="8"/>
      <c r="K64" s="8"/>
      <c r="L64" s="9"/>
      <c r="M64" s="10"/>
      <c r="O64" s="8"/>
    </row>
    <row r="65" spans="1:16" s="7" customFormat="1" ht="23.1" customHeight="1" x14ac:dyDescent="0.3">
      <c r="A65" s="4"/>
      <c r="B65" s="4"/>
      <c r="C65" s="4" t="s">
        <v>102</v>
      </c>
      <c r="D65" s="4"/>
      <c r="E65" s="4"/>
      <c r="F65" s="4"/>
      <c r="G65" s="8">
        <v>2711.93</v>
      </c>
      <c r="H65" s="8"/>
      <c r="I65" s="8">
        <v>3512.25</v>
      </c>
      <c r="J65" s="8"/>
      <c r="K65" s="8">
        <f>ROUND((G65-I65),5)</f>
        <v>-800.32</v>
      </c>
      <c r="L65" s="9"/>
      <c r="M65" s="10">
        <f>ROUND(IF(G65=0, IF(I65=0, 0, SIGN(-I65)), IF(I65=0, SIGN(G65), (G65-I65)/ABS(I65))),5)</f>
        <v>-0.22786999999999999</v>
      </c>
      <c r="O65" s="8">
        <v>4100</v>
      </c>
    </row>
    <row r="66" spans="1:16" s="7" customFormat="1" ht="23.45" customHeight="1" x14ac:dyDescent="0.3">
      <c r="A66" s="4"/>
      <c r="B66" s="4"/>
      <c r="C66" s="4" t="s">
        <v>55</v>
      </c>
      <c r="D66" s="4"/>
      <c r="E66" s="4"/>
      <c r="F66" s="4"/>
      <c r="G66" s="8">
        <v>24953.5</v>
      </c>
      <c r="H66" s="8"/>
      <c r="I66" s="8">
        <v>31802.32</v>
      </c>
      <c r="J66" s="8"/>
      <c r="K66" s="8">
        <f>ROUND((G66-I66),5)</f>
        <v>-6848.82</v>
      </c>
      <c r="L66" s="9"/>
      <c r="M66" s="10">
        <f>ROUND(IF(G66=0, IF(I66=0, 0, SIGN(-I66)), IF(I66=0, SIGN(G66), (G66-I66)/ABS(I66))),5)</f>
        <v>-0.21536</v>
      </c>
      <c r="O66" s="8">
        <v>55000</v>
      </c>
      <c r="P66" s="26" t="s">
        <v>112</v>
      </c>
    </row>
    <row r="67" spans="1:16" s="7" customFormat="1" ht="23.1" customHeight="1" x14ac:dyDescent="0.3">
      <c r="A67" s="4"/>
      <c r="B67" s="4"/>
      <c r="C67" s="4" t="s">
        <v>56</v>
      </c>
      <c r="D67" s="4"/>
      <c r="E67" s="4"/>
      <c r="F67" s="4"/>
      <c r="G67" s="8">
        <v>417.1</v>
      </c>
      <c r="H67" s="8"/>
      <c r="I67" s="8">
        <v>1950.66</v>
      </c>
      <c r="J67" s="8"/>
      <c r="K67" s="8">
        <f>ROUND((G67-I67),5)</f>
        <v>-1533.56</v>
      </c>
      <c r="L67" s="9"/>
      <c r="M67" s="10">
        <f>ROUND(IF(G67=0, IF(I67=0, 0, SIGN(-I67)), IF(I67=0, SIGN(G67), (G67-I67)/ABS(I67))),5)</f>
        <v>-0.78617000000000004</v>
      </c>
      <c r="O67" s="8">
        <v>2000</v>
      </c>
    </row>
    <row r="68" spans="1:16" s="7" customFormat="1" ht="23.1" customHeight="1" x14ac:dyDescent="0.3">
      <c r="A68" s="4"/>
      <c r="B68" s="4"/>
      <c r="C68" s="4" t="s">
        <v>57</v>
      </c>
      <c r="D68" s="4"/>
      <c r="E68" s="4"/>
      <c r="F68" s="4"/>
      <c r="G68" s="8">
        <v>0</v>
      </c>
      <c r="H68" s="8"/>
      <c r="I68" s="8">
        <v>2562.9299999999998</v>
      </c>
      <c r="J68" s="8"/>
      <c r="K68" s="8">
        <f>ROUND((G68-I68),5)</f>
        <v>-2562.9299999999998</v>
      </c>
      <c r="L68" s="9"/>
      <c r="M68" s="10">
        <f>ROUND(IF(G68=0, IF(I68=0, 0, SIGN(-I68)), IF(I68=0, SIGN(G68), (G68-I68)/ABS(I68))),5)</f>
        <v>-1</v>
      </c>
      <c r="O68" s="8">
        <v>2500</v>
      </c>
    </row>
    <row r="69" spans="1:16" s="7" customFormat="1" ht="23.1" customHeight="1" x14ac:dyDescent="0.3">
      <c r="A69" s="4"/>
      <c r="B69" s="4"/>
      <c r="C69" s="4" t="s">
        <v>58</v>
      </c>
      <c r="D69" s="4"/>
      <c r="E69" s="4"/>
      <c r="F69" s="4"/>
      <c r="G69" s="8">
        <v>5000</v>
      </c>
      <c r="H69" s="8"/>
      <c r="I69" s="8">
        <v>5000</v>
      </c>
      <c r="J69" s="8"/>
      <c r="K69" s="8">
        <f>ROUND((G69-I69),5)</f>
        <v>0</v>
      </c>
      <c r="L69" s="9"/>
      <c r="M69" s="10">
        <f>ROUND(IF(G69=0, IF(I69=0, 0, SIGN(-I69)), IF(I69=0, SIGN(G69), (G69-I69)/ABS(I69))),5)</f>
        <v>0</v>
      </c>
      <c r="O69" s="8">
        <v>5000</v>
      </c>
    </row>
    <row r="70" spans="1:16" s="7" customFormat="1" ht="23.45" customHeight="1" x14ac:dyDescent="0.3">
      <c r="A70" s="4"/>
      <c r="B70" s="4"/>
      <c r="C70" s="4" t="s">
        <v>59</v>
      </c>
      <c r="D70" s="4"/>
      <c r="E70" s="4"/>
      <c r="F70" s="4"/>
      <c r="G70" s="8"/>
      <c r="H70" s="8"/>
      <c r="I70" s="8"/>
      <c r="J70" s="8"/>
      <c r="K70" s="8"/>
      <c r="L70" s="9"/>
      <c r="M70" s="10"/>
      <c r="O70" s="8"/>
    </row>
    <row r="71" spans="1:16" s="7" customFormat="1" ht="23.45" customHeight="1" x14ac:dyDescent="0.3">
      <c r="A71" s="4"/>
      <c r="B71" s="4"/>
      <c r="C71" s="4"/>
      <c r="D71" s="4" t="s">
        <v>71</v>
      </c>
      <c r="E71" s="4"/>
      <c r="F71" s="4"/>
      <c r="G71" s="8">
        <v>218.61</v>
      </c>
      <c r="H71" s="8"/>
      <c r="I71" s="8">
        <v>216.81</v>
      </c>
      <c r="J71" s="8"/>
      <c r="K71" s="8">
        <f>ROUND((G71-I71),5)</f>
        <v>1.8</v>
      </c>
      <c r="L71" s="9"/>
      <c r="M71" s="10">
        <f>ROUND(IF(G71=0, IF(I71=0, 0, SIGN(-I71)), IF(I71=0, SIGN(G71), (G71-I71)/ABS(I71))),5)</f>
        <v>8.3000000000000001E-3</v>
      </c>
      <c r="O71" s="8">
        <f>250+200</f>
        <v>450</v>
      </c>
    </row>
    <row r="72" spans="1:16" s="7" customFormat="1" ht="23.45" customHeight="1" thickBot="1" x14ac:dyDescent="0.35">
      <c r="A72" s="4"/>
      <c r="B72" s="4"/>
      <c r="C72" s="4"/>
      <c r="D72" s="4" t="s">
        <v>60</v>
      </c>
      <c r="E72" s="4"/>
      <c r="F72" s="4"/>
      <c r="G72" s="11">
        <v>-291.89999999999998</v>
      </c>
      <c r="H72" s="8"/>
      <c r="I72" s="11">
        <v>-1093.47</v>
      </c>
      <c r="J72" s="8"/>
      <c r="K72" s="11">
        <f>ROUND((G72-I72),5)</f>
        <v>801.57</v>
      </c>
      <c r="L72" s="9"/>
      <c r="M72" s="12">
        <f>ROUND(IF(G72=0, IF(I72=0, 0, SIGN(-I72)), IF(I72=0, SIGN(G72), (G72-I72)/ABS(I72))),5)</f>
        <v>0.73304999999999998</v>
      </c>
      <c r="O72" s="11">
        <v>0</v>
      </c>
    </row>
    <row r="73" spans="1:16" s="7" customFormat="1" ht="23.1" customHeight="1" x14ac:dyDescent="0.3">
      <c r="A73" s="4"/>
      <c r="B73" s="4"/>
      <c r="C73" s="4" t="s">
        <v>61</v>
      </c>
      <c r="D73" s="4"/>
      <c r="E73" s="4"/>
      <c r="F73" s="4"/>
      <c r="G73" s="8">
        <f>ROUND(SUM(G70:G72),5)</f>
        <v>-73.290000000000006</v>
      </c>
      <c r="H73" s="8"/>
      <c r="I73" s="8">
        <f>ROUND(SUM(I70:I72),5)</f>
        <v>-876.66</v>
      </c>
      <c r="J73" s="8"/>
      <c r="K73" s="8">
        <f>ROUND((G73-I73),5)</f>
        <v>803.37</v>
      </c>
      <c r="L73" s="9"/>
      <c r="M73" s="10">
        <f>ROUND(IF(G73=0, IF(I73=0, 0, SIGN(-I73)), IF(I73=0, SIGN(G73), (G73-I73)/ABS(I73))),5)</f>
        <v>0.91639999999999999</v>
      </c>
      <c r="O73" s="8">
        <f>ROUND(SUM(O70:O72),5)</f>
        <v>450</v>
      </c>
    </row>
    <row r="74" spans="1:16" s="7" customFormat="1" ht="23.1" customHeight="1" x14ac:dyDescent="0.3">
      <c r="A74" s="4"/>
      <c r="B74" s="4"/>
      <c r="C74" s="4" t="s">
        <v>62</v>
      </c>
      <c r="D74" s="4"/>
      <c r="E74" s="4"/>
      <c r="F74" s="4"/>
      <c r="G74" s="8">
        <v>10000</v>
      </c>
      <c r="H74" s="8"/>
      <c r="I74" s="8">
        <v>5000</v>
      </c>
      <c r="J74" s="8"/>
      <c r="K74" s="8">
        <f>ROUND((G74-I74),5)</f>
        <v>5000</v>
      </c>
      <c r="L74" s="9"/>
      <c r="M74" s="10">
        <f>ROUND(IF(G74=0, IF(I74=0, 0, SIGN(-I74)), IF(I74=0, SIGN(G74), (G74-I74)/ABS(I74))),5)</f>
        <v>1</v>
      </c>
      <c r="O74" s="8">
        <v>10000</v>
      </c>
    </row>
    <row r="75" spans="1:16" s="7" customFormat="1" ht="23.1" customHeight="1" x14ac:dyDescent="0.3">
      <c r="A75" s="4"/>
      <c r="B75" s="4"/>
      <c r="C75" s="4" t="s">
        <v>63</v>
      </c>
      <c r="D75" s="4"/>
      <c r="E75" s="4"/>
      <c r="F75" s="4"/>
      <c r="G75" s="8"/>
      <c r="H75" s="8"/>
      <c r="I75" s="8"/>
      <c r="J75" s="8"/>
      <c r="K75" s="8"/>
      <c r="L75" s="9"/>
      <c r="M75" s="10"/>
      <c r="O75" s="8"/>
    </row>
    <row r="76" spans="1:16" s="7" customFormat="1" ht="23.1" customHeight="1" x14ac:dyDescent="0.3">
      <c r="A76" s="4"/>
      <c r="B76" s="4"/>
      <c r="C76" s="4"/>
      <c r="D76" s="4" t="s">
        <v>64</v>
      </c>
      <c r="E76" s="4"/>
      <c r="F76" s="4"/>
      <c r="G76" s="8">
        <v>0</v>
      </c>
      <c r="H76" s="8"/>
      <c r="I76" s="8">
        <v>1782.04</v>
      </c>
      <c r="J76" s="8"/>
      <c r="K76" s="8">
        <f>ROUND((G76-I76),5)</f>
        <v>-1782.04</v>
      </c>
      <c r="L76" s="9"/>
      <c r="M76" s="10">
        <f t="shared" ref="M76:M82" si="6">ROUND(IF(G76=0, IF(I76=0, 0, SIGN(-I76)), IF(I76=0, SIGN(G76), (G76-I76)/ABS(I76))),5)</f>
        <v>-1</v>
      </c>
      <c r="O76" s="8">
        <v>2000</v>
      </c>
    </row>
    <row r="77" spans="1:16" s="7" customFormat="1" ht="23.1" customHeight="1" x14ac:dyDescent="0.3">
      <c r="A77" s="4"/>
      <c r="B77" s="4"/>
      <c r="C77" s="4"/>
      <c r="D77" s="4" t="s">
        <v>65</v>
      </c>
      <c r="E77" s="4"/>
      <c r="F77" s="4"/>
      <c r="G77" s="8">
        <v>0</v>
      </c>
      <c r="H77" s="8"/>
      <c r="I77" s="8">
        <v>3000</v>
      </c>
      <c r="J77" s="8"/>
      <c r="K77" s="8">
        <f t="shared" ref="K77:K82" si="7">ROUND((G77-I77),5)</f>
        <v>-3000</v>
      </c>
      <c r="L77" s="9"/>
      <c r="M77" s="10">
        <f t="shared" si="6"/>
        <v>-1</v>
      </c>
      <c r="O77" s="8">
        <v>3000</v>
      </c>
    </row>
    <row r="78" spans="1:16" s="7" customFormat="1" ht="23.1" customHeight="1" thickBot="1" x14ac:dyDescent="0.35">
      <c r="A78" s="4"/>
      <c r="B78" s="4"/>
      <c r="C78" s="4"/>
      <c r="D78" s="4" t="s">
        <v>66</v>
      </c>
      <c r="E78" s="4"/>
      <c r="F78" s="4"/>
      <c r="G78" s="11">
        <v>0</v>
      </c>
      <c r="H78" s="8"/>
      <c r="I78" s="11">
        <v>1752.94</v>
      </c>
      <c r="J78" s="8"/>
      <c r="K78" s="11">
        <f t="shared" si="7"/>
        <v>-1752.94</v>
      </c>
      <c r="L78" s="9"/>
      <c r="M78" s="12">
        <f t="shared" si="6"/>
        <v>-1</v>
      </c>
      <c r="O78" s="11">
        <v>1800</v>
      </c>
    </row>
    <row r="79" spans="1:16" s="7" customFormat="1" ht="23.1" customHeight="1" x14ac:dyDescent="0.3">
      <c r="A79" s="4"/>
      <c r="B79" s="4"/>
      <c r="C79" s="4" t="s">
        <v>67</v>
      </c>
      <c r="D79" s="4"/>
      <c r="E79" s="4"/>
      <c r="F79" s="4"/>
      <c r="G79" s="8">
        <f>ROUND(SUM(G75:G78),5)</f>
        <v>0</v>
      </c>
      <c r="H79" s="8"/>
      <c r="I79" s="8">
        <f>ROUND(SUM(I75:I78),5)</f>
        <v>6534.98</v>
      </c>
      <c r="J79" s="8"/>
      <c r="K79" s="8">
        <f t="shared" si="7"/>
        <v>-6534.98</v>
      </c>
      <c r="L79" s="9"/>
      <c r="M79" s="10">
        <f t="shared" si="6"/>
        <v>-1</v>
      </c>
      <c r="O79" s="8">
        <f>ROUND(SUM(O75:O78),5)</f>
        <v>6800</v>
      </c>
    </row>
    <row r="80" spans="1:16" s="7" customFormat="1" ht="23.1" customHeight="1" thickBot="1" x14ac:dyDescent="0.35">
      <c r="A80" s="4"/>
      <c r="B80" s="4"/>
      <c r="C80" s="4" t="s">
        <v>68</v>
      </c>
      <c r="D80" s="4"/>
      <c r="E80" s="4"/>
      <c r="F80" s="4"/>
      <c r="G80" s="13">
        <v>1300</v>
      </c>
      <c r="H80" s="8"/>
      <c r="I80" s="13">
        <v>1457.46</v>
      </c>
      <c r="J80" s="8"/>
      <c r="K80" s="13">
        <f t="shared" si="7"/>
        <v>-157.46</v>
      </c>
      <c r="L80" s="9"/>
      <c r="M80" s="14">
        <f t="shared" si="6"/>
        <v>-0.10804</v>
      </c>
      <c r="O80" s="13">
        <v>5000</v>
      </c>
    </row>
    <row r="81" spans="1:15" s="7" customFormat="1" ht="23.1" customHeight="1" thickBot="1" x14ac:dyDescent="0.35">
      <c r="A81" s="4"/>
      <c r="B81" s="4" t="s">
        <v>69</v>
      </c>
      <c r="C81" s="4"/>
      <c r="D81" s="4"/>
      <c r="E81" s="4"/>
      <c r="F81" s="4"/>
      <c r="G81" s="17">
        <f>ROUND(SUM(G64:G69)+SUM(G73:G74)+SUM(G79:G80),5)</f>
        <v>44309.24</v>
      </c>
      <c r="H81" s="8"/>
      <c r="I81" s="17">
        <f>ROUND(SUM(I64:I69)+SUM(I73:I74)+SUM(I79:I80),5)</f>
        <v>56943.94</v>
      </c>
      <c r="J81" s="8"/>
      <c r="K81" s="17">
        <f t="shared" si="7"/>
        <v>-12634.7</v>
      </c>
      <c r="L81" s="9"/>
      <c r="M81" s="18">
        <f t="shared" si="6"/>
        <v>-0.22187999999999999</v>
      </c>
      <c r="O81" s="17">
        <f>ROUND(SUM(O64:O69)+SUM(O73:O74)+SUM(O79:O80),5)</f>
        <v>90850</v>
      </c>
    </row>
    <row r="82" spans="1:15" s="22" customFormat="1" ht="23.1" customHeight="1" thickBot="1" x14ac:dyDescent="0.35">
      <c r="A82" s="4" t="s">
        <v>70</v>
      </c>
      <c r="B82" s="4"/>
      <c r="C82" s="4"/>
      <c r="D82" s="4"/>
      <c r="E82" s="4"/>
      <c r="F82" s="4"/>
      <c r="G82" s="19">
        <f>ROUND(G63-G81,5)</f>
        <v>10574.7</v>
      </c>
      <c r="H82" s="20"/>
      <c r="I82" s="19">
        <f>ROUND(I63-I81,5)</f>
        <v>10883.72</v>
      </c>
      <c r="J82" s="20"/>
      <c r="K82" s="19">
        <f t="shared" si="7"/>
        <v>-309.02</v>
      </c>
      <c r="L82" s="4"/>
      <c r="M82" s="21">
        <f t="shared" si="6"/>
        <v>-2.8389999999999999E-2</v>
      </c>
      <c r="O82" s="19">
        <f>ROUND(O63-O81,5)</f>
        <v>-29900</v>
      </c>
    </row>
    <row r="83" spans="1:15" s="7" customFormat="1" ht="19.5" thickTop="1" x14ac:dyDescent="0.3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5"/>
      <c r="M83" s="25"/>
      <c r="O83" s="25"/>
    </row>
    <row r="84" spans="1:15" s="7" customFormat="1" ht="18.75" x14ac:dyDescent="0.3">
      <c r="A84" s="23"/>
      <c r="B84" s="23"/>
      <c r="C84" s="23"/>
      <c r="D84" s="23"/>
      <c r="E84" s="23"/>
      <c r="F84" s="23"/>
      <c r="G84" s="25"/>
      <c r="H84" s="25"/>
      <c r="I84" s="25"/>
      <c r="J84" s="25"/>
      <c r="K84" s="28" t="s">
        <v>93</v>
      </c>
      <c r="L84" s="28"/>
      <c r="M84" s="28"/>
      <c r="N84" s="29"/>
      <c r="O84" s="30"/>
    </row>
    <row r="85" spans="1:15" s="7" customFormat="1" ht="18.75" x14ac:dyDescent="0.3">
      <c r="A85" s="23"/>
      <c r="B85" s="23"/>
      <c r="C85" s="23"/>
      <c r="D85" s="23"/>
      <c r="E85" s="23"/>
      <c r="F85" s="23"/>
      <c r="G85" s="25"/>
      <c r="H85" s="25"/>
      <c r="I85" s="25"/>
      <c r="J85" s="25"/>
      <c r="K85" s="25" t="s">
        <v>94</v>
      </c>
      <c r="L85" s="25"/>
      <c r="M85" s="25"/>
      <c r="N85" s="27"/>
      <c r="O85" s="24">
        <v>62333.120000000003</v>
      </c>
    </row>
    <row r="86" spans="1:15" s="7" customFormat="1" ht="18.75" x14ac:dyDescent="0.3">
      <c r="A86" s="23"/>
      <c r="B86" s="23"/>
      <c r="C86" s="23"/>
      <c r="D86" s="23"/>
      <c r="E86" s="23"/>
      <c r="F86" s="23"/>
      <c r="G86" s="25"/>
      <c r="H86" s="25"/>
      <c r="I86" s="25"/>
      <c r="J86" s="25"/>
      <c r="K86" s="25" t="s">
        <v>95</v>
      </c>
      <c r="L86" s="25"/>
      <c r="M86" s="25"/>
      <c r="O86" s="24">
        <f>G82</f>
        <v>10574.7</v>
      </c>
    </row>
    <row r="87" spans="1:15" ht="18.75" x14ac:dyDescent="0.3">
      <c r="K87" s="27" t="s">
        <v>108</v>
      </c>
      <c r="L87" s="25"/>
      <c r="M87" s="25"/>
      <c r="N87" s="7"/>
      <c r="O87" s="24">
        <v>72907.820000000007</v>
      </c>
    </row>
    <row r="88" spans="1:15" x14ac:dyDescent="0.25">
      <c r="O88" s="31">
        <f>O85+O86-O87</f>
        <v>0</v>
      </c>
    </row>
  </sheetData>
  <mergeCells count="1">
    <mergeCell ref="P58:P62"/>
  </mergeCells>
  <printOptions horizontalCentered="1"/>
  <pageMargins left="0.25" right="0.25" top="0.75" bottom="0.75" header="0.3" footer="0.3"/>
  <pageSetup scale="48" orientation="landscape" r:id="rId1"/>
  <headerFooter>
    <oddHeader>&amp;L&amp;"Times New Roman,Bold"&amp;14TREASURER REPORT&amp;C&amp;"Times New Roman,Bold"&amp;14 Tiger PAWS of Wheaton Warrenville South
 Profit &amp;&amp; Loss Prev Year Comparison
 July 2017 through June 2018</oddHeader>
    <oddFooter>&amp;R&amp;"Times New Roman,Bold"&amp;14&amp;D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6076-CDA7-4E67-8369-F937746C2ED6}">
  <sheetPr>
    <pageSetUpPr fitToPage="1"/>
  </sheetPr>
  <dimension ref="A1:F52"/>
  <sheetViews>
    <sheetView topLeftCell="A28" workbookViewId="0">
      <selection activeCell="C42" sqref="C42"/>
    </sheetView>
  </sheetViews>
  <sheetFormatPr defaultColWidth="9.140625" defaultRowHeight="15" x14ac:dyDescent="0.25"/>
  <cols>
    <col min="1" max="1" width="3.28515625" style="189" customWidth="1"/>
    <col min="2" max="2" width="46.7109375" style="189" bestFit="1" customWidth="1"/>
    <col min="3" max="3" width="17" style="189" bestFit="1" customWidth="1"/>
    <col min="4" max="4" width="16.5703125" style="189" bestFit="1" customWidth="1"/>
    <col min="5" max="5" width="17.5703125" style="189" bestFit="1" customWidth="1"/>
    <col min="6" max="6" width="65" style="189" bestFit="1" customWidth="1"/>
    <col min="7" max="16384" width="9.140625" style="189"/>
  </cols>
  <sheetData>
    <row r="1" spans="1:6" ht="19.5" customHeight="1" x14ac:dyDescent="0.25">
      <c r="A1" s="240" t="s">
        <v>329</v>
      </c>
      <c r="B1" s="241"/>
      <c r="C1" s="241"/>
      <c r="D1" s="241"/>
      <c r="E1" s="241"/>
      <c r="F1" s="242"/>
    </row>
    <row r="2" spans="1:6" ht="19.5" customHeight="1" x14ac:dyDescent="0.25">
      <c r="A2" s="243"/>
      <c r="B2" s="244"/>
      <c r="C2" s="244"/>
      <c r="D2" s="244"/>
      <c r="E2" s="244"/>
      <c r="F2" s="245"/>
    </row>
    <row r="3" spans="1:6" ht="47.25" x14ac:dyDescent="0.25">
      <c r="A3" s="190"/>
      <c r="B3" s="190"/>
      <c r="C3" s="191" t="s">
        <v>288</v>
      </c>
      <c r="D3" s="192" t="s">
        <v>289</v>
      </c>
      <c r="E3" s="191" t="s">
        <v>290</v>
      </c>
      <c r="F3" s="193" t="s">
        <v>291</v>
      </c>
    </row>
    <row r="4" spans="1:6" ht="15.75" x14ac:dyDescent="0.25">
      <c r="A4" s="246" t="s">
        <v>4</v>
      </c>
      <c r="B4" s="246"/>
      <c r="C4" s="194"/>
      <c r="D4" s="195"/>
      <c r="E4" s="194"/>
      <c r="F4" s="194"/>
    </row>
    <row r="5" spans="1:6" ht="15.75" x14ac:dyDescent="0.25">
      <c r="A5" s="196"/>
      <c r="B5" s="196" t="s">
        <v>272</v>
      </c>
      <c r="C5" s="197">
        <v>6173.75</v>
      </c>
      <c r="D5" s="198">
        <v>13735.87</v>
      </c>
      <c r="E5" s="197">
        <v>5000</v>
      </c>
      <c r="F5" s="197"/>
    </row>
    <row r="6" spans="1:6" ht="15.75" x14ac:dyDescent="0.25">
      <c r="A6" s="196"/>
      <c r="B6" s="196" t="s">
        <v>11</v>
      </c>
      <c r="C6" s="197">
        <f>SUM(C7:C9)</f>
        <v>14925.05</v>
      </c>
      <c r="D6" s="199">
        <v>19064.89</v>
      </c>
      <c r="E6" s="197">
        <v>11000</v>
      </c>
      <c r="F6" s="197"/>
    </row>
    <row r="7" spans="1:6" x14ac:dyDescent="0.25">
      <c r="B7" s="200" t="s">
        <v>301</v>
      </c>
      <c r="C7" s="223">
        <v>15775.05</v>
      </c>
      <c r="D7" s="223"/>
      <c r="E7" s="223"/>
      <c r="F7" s="224"/>
    </row>
    <row r="8" spans="1:6" ht="15.75" x14ac:dyDescent="0.25">
      <c r="A8" s="196"/>
      <c r="B8" s="200" t="s">
        <v>299</v>
      </c>
      <c r="C8" s="198">
        <v>0</v>
      </c>
      <c r="D8" s="199"/>
      <c r="E8" s="198"/>
      <c r="F8" s="197"/>
    </row>
    <row r="9" spans="1:6" ht="15.75" x14ac:dyDescent="0.25">
      <c r="A9" s="196"/>
      <c r="B9" s="200" t="s">
        <v>298</v>
      </c>
      <c r="C9" s="198">
        <v>-850</v>
      </c>
      <c r="D9" s="199"/>
      <c r="E9" s="198"/>
      <c r="F9" s="197"/>
    </row>
    <row r="10" spans="1:6" ht="15.75" x14ac:dyDescent="0.25">
      <c r="A10" s="196"/>
      <c r="B10" s="196" t="s">
        <v>285</v>
      </c>
      <c r="C10" s="197">
        <v>1609.28</v>
      </c>
      <c r="D10" s="199">
        <v>5247</v>
      </c>
      <c r="E10" s="197">
        <v>2500</v>
      </c>
      <c r="F10" s="197"/>
    </row>
    <row r="11" spans="1:6" ht="15.75" x14ac:dyDescent="0.25">
      <c r="A11" s="196"/>
      <c r="B11" s="196" t="s">
        <v>202</v>
      </c>
      <c r="C11" s="197">
        <v>0</v>
      </c>
      <c r="D11" s="199">
        <v>18088.48</v>
      </c>
      <c r="E11" s="197">
        <v>0</v>
      </c>
      <c r="F11" s="197"/>
    </row>
    <row r="12" spans="1:6" ht="15.75" x14ac:dyDescent="0.25">
      <c r="A12" s="196"/>
      <c r="B12" s="196" t="s">
        <v>203</v>
      </c>
      <c r="C12" s="197">
        <v>0</v>
      </c>
      <c r="D12" s="199">
        <v>-384.69</v>
      </c>
      <c r="E12" s="197">
        <v>2000</v>
      </c>
      <c r="F12" s="197"/>
    </row>
    <row r="13" spans="1:6" ht="15.75" x14ac:dyDescent="0.25">
      <c r="A13" s="196"/>
      <c r="B13" s="196" t="s">
        <v>44</v>
      </c>
      <c r="C13" s="197">
        <v>0</v>
      </c>
      <c r="D13" s="199">
        <v>3310</v>
      </c>
      <c r="E13" s="197">
        <v>0</v>
      </c>
      <c r="F13" s="197"/>
    </row>
    <row r="14" spans="1:6" ht="15.75" x14ac:dyDescent="0.25">
      <c r="A14" s="196"/>
      <c r="B14" s="196" t="s">
        <v>46</v>
      </c>
      <c r="C14" s="197">
        <v>0</v>
      </c>
      <c r="D14" s="199">
        <v>1020</v>
      </c>
      <c r="E14" s="197">
        <v>0</v>
      </c>
      <c r="F14" s="197"/>
    </row>
    <row r="15" spans="1:6" ht="15.75" x14ac:dyDescent="0.25">
      <c r="A15" s="196"/>
      <c r="B15" s="196" t="s">
        <v>49</v>
      </c>
      <c r="C15" s="202">
        <v>10280.56</v>
      </c>
      <c r="D15" s="199">
        <v>1244.32</v>
      </c>
      <c r="E15" s="202">
        <v>2600</v>
      </c>
      <c r="F15" s="197"/>
    </row>
    <row r="16" spans="1:6" ht="15.75" x14ac:dyDescent="0.25">
      <c r="A16" s="196"/>
      <c r="B16" s="196" t="s">
        <v>263</v>
      </c>
      <c r="C16" s="197">
        <v>2515.5</v>
      </c>
      <c r="D16" s="199"/>
      <c r="E16" s="197">
        <v>1300</v>
      </c>
      <c r="F16" s="197" t="s">
        <v>292</v>
      </c>
    </row>
    <row r="17" spans="1:6" ht="15.75" x14ac:dyDescent="0.25">
      <c r="A17" s="196"/>
      <c r="B17" s="196" t="s">
        <v>51</v>
      </c>
      <c r="C17" s="197">
        <v>-15.11</v>
      </c>
      <c r="D17" s="198">
        <v>-126</v>
      </c>
      <c r="E17" s="197">
        <v>-200</v>
      </c>
      <c r="F17" s="197"/>
    </row>
    <row r="18" spans="1:6" ht="15.75" x14ac:dyDescent="0.25">
      <c r="A18" s="246" t="s">
        <v>53</v>
      </c>
      <c r="B18" s="246"/>
      <c r="C18" s="203">
        <f>SUM(C5, C6, C10:C17)</f>
        <v>35489.03</v>
      </c>
      <c r="D18" s="204">
        <f>ROUND(SUM(D4:D17),5)</f>
        <v>61199.87</v>
      </c>
      <c r="E18" s="203">
        <f>ROUND(SUM(E5:E17),5)</f>
        <v>24200</v>
      </c>
      <c r="F18" s="203"/>
    </row>
    <row r="19" spans="1:6" ht="15.75" x14ac:dyDescent="0.25">
      <c r="A19" s="246" t="s">
        <v>6</v>
      </c>
      <c r="B19" s="246"/>
      <c r="C19" s="197"/>
      <c r="D19" s="198"/>
      <c r="E19" s="197"/>
      <c r="F19" s="197"/>
    </row>
    <row r="20" spans="1:6" ht="15.75" x14ac:dyDescent="0.25">
      <c r="A20" s="196"/>
      <c r="B20" s="196" t="s">
        <v>54</v>
      </c>
      <c r="C20" s="197">
        <f>SUM(C21:C26)</f>
        <v>2895.2999999999997</v>
      </c>
      <c r="D20" s="198">
        <f>SUM(D21:D26)</f>
        <v>3209.01</v>
      </c>
      <c r="E20" s="197">
        <f>SUM(E21:E26)</f>
        <v>2950</v>
      </c>
      <c r="F20" s="197"/>
    </row>
    <row r="21" spans="1:6" x14ac:dyDescent="0.25">
      <c r="A21" s="200"/>
      <c r="B21" s="200" t="s">
        <v>216</v>
      </c>
      <c r="C21" s="198">
        <v>1440</v>
      </c>
      <c r="D21" s="198">
        <v>1380</v>
      </c>
      <c r="E21" s="198">
        <v>1400</v>
      </c>
      <c r="F21" s="198"/>
    </row>
    <row r="22" spans="1:6" x14ac:dyDescent="0.25">
      <c r="A22" s="200"/>
      <c r="B22" s="200" t="s">
        <v>215</v>
      </c>
      <c r="C22" s="198">
        <v>645.62</v>
      </c>
      <c r="D22" s="198">
        <v>1081.9000000000001</v>
      </c>
      <c r="E22" s="198">
        <v>800</v>
      </c>
      <c r="F22" s="198"/>
    </row>
    <row r="23" spans="1:6" x14ac:dyDescent="0.25">
      <c r="A23" s="200"/>
      <c r="B23" s="200" t="s">
        <v>214</v>
      </c>
      <c r="C23" s="198">
        <v>167.71</v>
      </c>
      <c r="D23" s="198">
        <v>149.5</v>
      </c>
      <c r="E23" s="198">
        <v>100</v>
      </c>
      <c r="F23" s="198"/>
    </row>
    <row r="24" spans="1:6" x14ac:dyDescent="0.25">
      <c r="A24" s="200"/>
      <c r="B24" s="200" t="s">
        <v>212</v>
      </c>
      <c r="C24" s="198">
        <v>590</v>
      </c>
      <c r="D24" s="198">
        <v>601</v>
      </c>
      <c r="E24" s="198">
        <v>600</v>
      </c>
      <c r="F24" s="198"/>
    </row>
    <row r="25" spans="1:6" x14ac:dyDescent="0.25">
      <c r="A25" s="200"/>
      <c r="B25" s="200" t="s">
        <v>282</v>
      </c>
      <c r="C25" s="198">
        <v>-5.03</v>
      </c>
      <c r="D25" s="198">
        <v>-18.39</v>
      </c>
      <c r="E25" s="198">
        <v>0</v>
      </c>
      <c r="F25" s="198"/>
    </row>
    <row r="26" spans="1:6" x14ac:dyDescent="0.25">
      <c r="A26" s="200"/>
      <c r="B26" s="200" t="s">
        <v>211</v>
      </c>
      <c r="C26" s="198">
        <v>57</v>
      </c>
      <c r="D26" s="198">
        <v>15</v>
      </c>
      <c r="E26" s="198">
        <v>50</v>
      </c>
      <c r="F26" s="198"/>
    </row>
    <row r="27" spans="1:6" ht="31.5" x14ac:dyDescent="0.25">
      <c r="A27" s="196"/>
      <c r="B27" s="196" t="s">
        <v>55</v>
      </c>
      <c r="C27" s="197">
        <v>9414.3700000000008</v>
      </c>
      <c r="D27" s="198">
        <v>46594.66</v>
      </c>
      <c r="E27" s="197">
        <v>23000</v>
      </c>
      <c r="F27" s="225" t="s">
        <v>308</v>
      </c>
    </row>
    <row r="28" spans="1:6" ht="15.75" x14ac:dyDescent="0.25">
      <c r="A28" s="196"/>
      <c r="B28" s="196" t="s">
        <v>56</v>
      </c>
      <c r="C28" s="197">
        <v>0</v>
      </c>
      <c r="D28" s="198">
        <v>944.92</v>
      </c>
      <c r="E28" s="197">
        <v>1000</v>
      </c>
      <c r="F28" s="202"/>
    </row>
    <row r="29" spans="1:6" ht="15.75" x14ac:dyDescent="0.25">
      <c r="A29" s="196"/>
      <c r="B29" s="196" t="s">
        <v>57</v>
      </c>
      <c r="C29" s="197">
        <v>2214.31</v>
      </c>
      <c r="D29" s="198">
        <v>0</v>
      </c>
      <c r="E29" s="197">
        <v>2700</v>
      </c>
      <c r="F29" s="202"/>
    </row>
    <row r="30" spans="1:6" ht="15.75" x14ac:dyDescent="0.25">
      <c r="A30" s="196"/>
      <c r="B30" s="196" t="s">
        <v>58</v>
      </c>
      <c r="C30" s="197">
        <v>0</v>
      </c>
      <c r="D30" s="198">
        <v>6000</v>
      </c>
      <c r="E30" s="197">
        <v>0</v>
      </c>
      <c r="F30" s="202"/>
    </row>
    <row r="31" spans="1:6" ht="15.75" x14ac:dyDescent="0.25">
      <c r="A31" s="196"/>
      <c r="B31" s="196" t="s">
        <v>59</v>
      </c>
      <c r="C31" s="197">
        <f>SUM(C32:C33)</f>
        <v>-51.45</v>
      </c>
      <c r="D31" s="198">
        <v>296.98</v>
      </c>
      <c r="E31" s="197">
        <f>SUM(E32:E33)</f>
        <v>350</v>
      </c>
      <c r="F31" s="202"/>
    </row>
    <row r="32" spans="1:6" x14ac:dyDescent="0.25">
      <c r="A32" s="205"/>
      <c r="B32" s="200" t="s">
        <v>220</v>
      </c>
      <c r="C32" s="198">
        <v>0</v>
      </c>
      <c r="D32" s="198">
        <v>296.98</v>
      </c>
      <c r="E32" s="198">
        <v>0</v>
      </c>
      <c r="F32" s="199"/>
    </row>
    <row r="33" spans="1:6" x14ac:dyDescent="0.25">
      <c r="A33" s="205"/>
      <c r="B33" s="200" t="s">
        <v>221</v>
      </c>
      <c r="C33" s="198">
        <v>-51.45</v>
      </c>
      <c r="D33" s="199">
        <v>0</v>
      </c>
      <c r="E33" s="198">
        <v>350</v>
      </c>
      <c r="F33" s="199" t="s">
        <v>314</v>
      </c>
    </row>
    <row r="34" spans="1:6" ht="15.75" x14ac:dyDescent="0.25">
      <c r="A34" s="196"/>
      <c r="B34" s="196" t="s">
        <v>62</v>
      </c>
      <c r="C34" s="197">
        <v>0</v>
      </c>
      <c r="D34" s="199">
        <v>10000</v>
      </c>
      <c r="E34" s="197">
        <v>0</v>
      </c>
      <c r="F34" s="202"/>
    </row>
    <row r="35" spans="1:6" ht="15.75" x14ac:dyDescent="0.25">
      <c r="A35" s="196"/>
      <c r="B35" s="196" t="s">
        <v>205</v>
      </c>
      <c r="C35" s="197"/>
      <c r="D35" s="199">
        <v>2250</v>
      </c>
      <c r="E35" s="197">
        <v>3000</v>
      </c>
      <c r="F35" s="202"/>
    </row>
    <row r="36" spans="1:6" ht="15.75" x14ac:dyDescent="0.25">
      <c r="A36" s="196"/>
      <c r="B36" s="196" t="s">
        <v>63</v>
      </c>
      <c r="C36" s="202">
        <f>SUM(C37:C39)</f>
        <v>9008.98</v>
      </c>
      <c r="D36" s="199">
        <f>SUM(D37:D39)</f>
        <v>5027.97</v>
      </c>
      <c r="E36" s="202">
        <f>SUM(E37:E39)</f>
        <v>8600</v>
      </c>
      <c r="F36" s="202"/>
    </row>
    <row r="37" spans="1:6" x14ac:dyDescent="0.25">
      <c r="A37" s="205"/>
      <c r="B37" s="200" t="s">
        <v>217</v>
      </c>
      <c r="C37" s="198">
        <v>3070.56</v>
      </c>
      <c r="D37" s="199">
        <v>2027.97</v>
      </c>
      <c r="E37" s="198">
        <v>2100</v>
      </c>
      <c r="F37" s="199"/>
    </row>
    <row r="38" spans="1:6" ht="30" x14ac:dyDescent="0.25">
      <c r="A38" s="205"/>
      <c r="B38" s="200" t="s">
        <v>218</v>
      </c>
      <c r="C38" s="198">
        <v>5000</v>
      </c>
      <c r="D38" s="199">
        <v>3000</v>
      </c>
      <c r="E38" s="198">
        <v>5000</v>
      </c>
      <c r="F38" s="226" t="s">
        <v>309</v>
      </c>
    </row>
    <row r="39" spans="1:6" x14ac:dyDescent="0.25">
      <c r="A39" s="205"/>
      <c r="B39" s="200" t="s">
        <v>219</v>
      </c>
      <c r="C39" s="198">
        <v>938.42</v>
      </c>
      <c r="D39" s="199">
        <v>0</v>
      </c>
      <c r="E39" s="198">
        <v>1500</v>
      </c>
      <c r="F39" s="199" t="s">
        <v>313</v>
      </c>
    </row>
    <row r="40" spans="1:6" ht="15.75" x14ac:dyDescent="0.25">
      <c r="A40" s="196"/>
      <c r="B40" s="196" t="s">
        <v>68</v>
      </c>
      <c r="C40" s="197">
        <v>1250</v>
      </c>
      <c r="D40" s="199">
        <v>1750.77</v>
      </c>
      <c r="E40" s="197">
        <v>3000</v>
      </c>
      <c r="F40" s="202" t="s">
        <v>296</v>
      </c>
    </row>
    <row r="41" spans="1:6" ht="15.75" x14ac:dyDescent="0.25">
      <c r="A41" s="246" t="s">
        <v>69</v>
      </c>
      <c r="B41" s="246"/>
      <c r="C41" s="203">
        <f>SUM(C20, C27, C28, C29, C30, C31, C34, C35, C36, C40)</f>
        <v>24731.51</v>
      </c>
      <c r="D41" s="204">
        <f>SUM(D20, D27, D28, D29, D30, D31, D34, D35, D36, D40)</f>
        <v>76074.310000000012</v>
      </c>
      <c r="E41" s="203">
        <f>SUM(E20, E27, E28, E29, E30, E31, E34, E35, E36, E40)</f>
        <v>44600</v>
      </c>
      <c r="F41" s="203"/>
    </row>
    <row r="42" spans="1:6" ht="15.75" x14ac:dyDescent="0.25">
      <c r="A42" s="196"/>
      <c r="B42" s="196"/>
      <c r="C42" s="206">
        <f>ROUND(C18-C41,5)</f>
        <v>10757.52</v>
      </c>
      <c r="D42" s="207">
        <f>ROUND(D18-D41,5)</f>
        <v>-14874.44</v>
      </c>
      <c r="E42" s="206">
        <f>ROUND(E18-E41,5)</f>
        <v>-20400</v>
      </c>
      <c r="F42" s="206"/>
    </row>
    <row r="43" spans="1:6" ht="15.75" x14ac:dyDescent="0.25">
      <c r="A43" s="208"/>
      <c r="B43" s="208"/>
      <c r="C43" s="208"/>
      <c r="D43" s="208"/>
      <c r="E43" s="208"/>
      <c r="F43" s="208"/>
    </row>
    <row r="44" spans="1:6" ht="15.75" x14ac:dyDescent="0.25">
      <c r="A44" s="208"/>
      <c r="B44" s="209" t="s">
        <v>93</v>
      </c>
      <c r="C44" s="209"/>
      <c r="D44" s="209"/>
      <c r="E44" s="209"/>
      <c r="F44" s="209"/>
    </row>
    <row r="45" spans="1:6" ht="15.75" x14ac:dyDescent="0.25">
      <c r="A45" s="208"/>
      <c r="B45" s="208" t="s">
        <v>274</v>
      </c>
      <c r="C45" s="208"/>
      <c r="D45" s="210">
        <v>53336.11</v>
      </c>
      <c r="E45" s="210"/>
      <c r="F45" s="210"/>
    </row>
    <row r="46" spans="1:6" ht="15.75" x14ac:dyDescent="0.25">
      <c r="A46" s="208"/>
      <c r="B46" s="208" t="s">
        <v>95</v>
      </c>
      <c r="C46" s="208"/>
      <c r="D46" s="210">
        <f>C42</f>
        <v>10757.52</v>
      </c>
      <c r="E46" s="210"/>
      <c r="F46" s="210"/>
    </row>
    <row r="47" spans="1:6" ht="15.75" x14ac:dyDescent="0.25">
      <c r="A47" s="208"/>
      <c r="B47" s="211" t="s">
        <v>275</v>
      </c>
      <c r="C47" s="208"/>
      <c r="D47" s="210">
        <f>SUM(D45:D46)</f>
        <v>64093.630000000005</v>
      </c>
      <c r="E47" s="210"/>
      <c r="F47" s="210"/>
    </row>
    <row r="48" spans="1:6" ht="16.5" thickBot="1" x14ac:dyDescent="0.3">
      <c r="A48" s="212"/>
      <c r="B48" s="212"/>
      <c r="C48" s="213"/>
      <c r="D48" s="213"/>
      <c r="E48" s="213"/>
      <c r="F48" s="212"/>
    </row>
    <row r="49" spans="1:6" ht="15.75" x14ac:dyDescent="0.25">
      <c r="A49" s="212"/>
      <c r="B49" s="214" t="s">
        <v>330</v>
      </c>
      <c r="C49" s="215"/>
      <c r="D49" s="216"/>
      <c r="E49" s="217"/>
      <c r="F49" s="217"/>
    </row>
    <row r="50" spans="1:6" ht="15.75" x14ac:dyDescent="0.25">
      <c r="A50" s="212"/>
      <c r="B50" s="218" t="s">
        <v>240</v>
      </c>
      <c r="C50" s="217"/>
      <c r="D50" s="219">
        <v>31019.94</v>
      </c>
      <c r="E50" s="217"/>
      <c r="F50" s="217"/>
    </row>
    <row r="51" spans="1:6" ht="15.75" x14ac:dyDescent="0.25">
      <c r="A51" s="212"/>
      <c r="B51" s="218" t="s">
        <v>241</v>
      </c>
      <c r="C51" s="217"/>
      <c r="D51" s="219">
        <v>33073.69</v>
      </c>
      <c r="E51" s="217"/>
      <c r="F51" s="217"/>
    </row>
    <row r="52" spans="1:6" ht="16.5" thickBot="1" x14ac:dyDescent="0.3">
      <c r="A52" s="212"/>
      <c r="B52" s="220" t="s">
        <v>242</v>
      </c>
      <c r="C52" s="221"/>
      <c r="D52" s="222">
        <f>SUM(D50:D51)</f>
        <v>64093.630000000005</v>
      </c>
      <c r="E52" s="217"/>
      <c r="F52" s="217"/>
    </row>
  </sheetData>
  <mergeCells count="5">
    <mergeCell ref="A1:F2"/>
    <mergeCell ref="A4:B4"/>
    <mergeCell ref="A18:B18"/>
    <mergeCell ref="A19:B19"/>
    <mergeCell ref="A41:B41"/>
  </mergeCells>
  <pageMargins left="0.25" right="0.25" top="0.75" bottom="0.75" header="0.3" footer="0.3"/>
  <pageSetup scale="61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>
    <pageSetUpPr fitToPage="1"/>
  </sheetPr>
  <dimension ref="A1:P88"/>
  <sheetViews>
    <sheetView topLeftCell="A68" workbookViewId="0"/>
  </sheetViews>
  <sheetFormatPr defaultColWidth="8.85546875" defaultRowHeight="15.75" x14ac:dyDescent="0.25"/>
  <cols>
    <col min="1" max="5" width="3" style="2" customWidth="1"/>
    <col min="6" max="6" width="49.42578125" style="2" customWidth="1"/>
    <col min="7" max="7" width="12.5703125" style="3" customWidth="1"/>
    <col min="8" max="8" width="2.42578125" style="3" customWidth="1"/>
    <col min="9" max="9" width="12.42578125" style="3" customWidth="1"/>
    <col min="10" max="10" width="2.42578125" style="3" customWidth="1"/>
    <col min="11" max="11" width="12.85546875" style="3" customWidth="1"/>
    <col min="12" max="12" width="2.42578125" style="3" customWidth="1"/>
    <col min="13" max="13" width="12.85546875" style="3" hidden="1" customWidth="1"/>
    <col min="14" max="14" width="4.85546875" style="1" customWidth="1"/>
    <col min="15" max="15" width="19.42578125" style="3" customWidth="1"/>
    <col min="16" max="16" width="79.140625" style="1" bestFit="1" customWidth="1"/>
    <col min="17" max="16384" width="8.85546875" style="1"/>
  </cols>
  <sheetData>
    <row r="1" spans="1:16" s="7" customFormat="1" ht="19.5" thickBot="1" x14ac:dyDescent="0.35">
      <c r="A1" s="4"/>
      <c r="B1" s="4"/>
      <c r="C1" s="4"/>
      <c r="D1" s="4"/>
      <c r="E1" s="4"/>
      <c r="F1" s="4"/>
      <c r="G1" s="5"/>
      <c r="H1" s="6"/>
      <c r="I1" s="5"/>
      <c r="J1" s="6"/>
      <c r="K1" s="5"/>
      <c r="L1" s="6"/>
      <c r="M1" s="5"/>
      <c r="O1" s="5"/>
    </row>
    <row r="2" spans="1:16" s="35" customFormat="1" ht="45.6" customHeight="1" thickTop="1" thickBot="1" x14ac:dyDescent="0.3">
      <c r="A2" s="32"/>
      <c r="B2" s="32"/>
      <c r="C2" s="32"/>
      <c r="D2" s="32"/>
      <c r="E2" s="32"/>
      <c r="F2" s="32"/>
      <c r="G2" s="33" t="s">
        <v>0</v>
      </c>
      <c r="H2" s="34"/>
      <c r="I2" s="33" t="s">
        <v>1</v>
      </c>
      <c r="J2" s="34"/>
      <c r="K2" s="33" t="s">
        <v>2</v>
      </c>
      <c r="L2" s="34"/>
      <c r="M2" s="33" t="s">
        <v>3</v>
      </c>
      <c r="O2" s="33" t="s">
        <v>72</v>
      </c>
      <c r="P2" s="36" t="s">
        <v>73</v>
      </c>
    </row>
    <row r="3" spans="1:16" s="7" customFormat="1" ht="19.5" thickTop="1" x14ac:dyDescent="0.3">
      <c r="A3" s="4"/>
      <c r="B3" s="4" t="s">
        <v>4</v>
      </c>
      <c r="C3" s="4"/>
      <c r="D3" s="4"/>
      <c r="E3" s="4"/>
      <c r="F3" s="4"/>
      <c r="G3" s="8"/>
      <c r="H3" s="8"/>
      <c r="I3" s="8"/>
      <c r="J3" s="8"/>
      <c r="K3" s="8"/>
      <c r="L3" s="9"/>
      <c r="M3" s="10"/>
      <c r="O3" s="8"/>
    </row>
    <row r="4" spans="1:16" s="7" customFormat="1" ht="18.75" hidden="1" x14ac:dyDescent="0.3">
      <c r="A4" s="4"/>
      <c r="B4" s="4"/>
      <c r="C4" s="4" t="s">
        <v>5</v>
      </c>
      <c r="D4" s="4"/>
      <c r="E4" s="4"/>
      <c r="F4" s="4"/>
      <c r="G4" s="8"/>
      <c r="H4" s="8"/>
      <c r="I4" s="8"/>
      <c r="J4" s="8"/>
      <c r="K4" s="8"/>
      <c r="L4" s="9"/>
      <c r="M4" s="10"/>
      <c r="O4" s="8"/>
    </row>
    <row r="5" spans="1:16" s="7" customFormat="1" ht="18.75" hidden="1" x14ac:dyDescent="0.3">
      <c r="A5" s="4"/>
      <c r="B5" s="4"/>
      <c r="C5" s="4"/>
      <c r="D5" s="4" t="s">
        <v>6</v>
      </c>
      <c r="E5" s="4"/>
      <c r="F5" s="4"/>
      <c r="G5" s="8">
        <v>-1020.79</v>
      </c>
      <c r="H5" s="8"/>
      <c r="I5" s="8">
        <v>-1034.24</v>
      </c>
      <c r="J5" s="8"/>
      <c r="K5" s="8">
        <f t="shared" ref="K5:K10" si="0">ROUND((G5-I5),5)</f>
        <v>13.45</v>
      </c>
      <c r="L5" s="9"/>
      <c r="M5" s="10">
        <f t="shared" ref="M5:M10" si="1">ROUND(IF(G5=0, IF(I5=0, 0, SIGN(-I5)), IF(I5=0, SIGN(G5), (G5-I5)/ABS(I5))),5)</f>
        <v>1.2999999999999999E-2</v>
      </c>
      <c r="O5" s="8"/>
    </row>
    <row r="6" spans="1:16" s="7" customFormat="1" ht="19.5" hidden="1" thickBot="1" x14ac:dyDescent="0.35">
      <c r="A6" s="4"/>
      <c r="B6" s="4"/>
      <c r="C6" s="4"/>
      <c r="D6" s="4" t="s">
        <v>4</v>
      </c>
      <c r="E6" s="4"/>
      <c r="F6" s="4"/>
      <c r="G6" s="11">
        <f>10000+600</f>
        <v>10600</v>
      </c>
      <c r="H6" s="8"/>
      <c r="I6" s="11">
        <v>7823</v>
      </c>
      <c r="J6" s="8"/>
      <c r="K6" s="11">
        <f t="shared" si="0"/>
        <v>2777</v>
      </c>
      <c r="L6" s="9"/>
      <c r="M6" s="12">
        <f t="shared" si="1"/>
        <v>0.35498000000000002</v>
      </c>
      <c r="O6" s="11"/>
    </row>
    <row r="7" spans="1:16" s="7" customFormat="1" ht="23.1" customHeight="1" x14ac:dyDescent="0.3">
      <c r="A7" s="4"/>
      <c r="B7" s="4"/>
      <c r="C7" s="4" t="s">
        <v>7</v>
      </c>
      <c r="D7" s="4"/>
      <c r="E7" s="4"/>
      <c r="F7" s="4"/>
      <c r="G7" s="8">
        <f>ROUND(SUM(G4:G6),5)</f>
        <v>9579.2099999999991</v>
      </c>
      <c r="H7" s="8"/>
      <c r="I7" s="8">
        <f>ROUND(SUM(I4:I6),5)</f>
        <v>6788.76</v>
      </c>
      <c r="J7" s="8"/>
      <c r="K7" s="8">
        <f t="shared" si="0"/>
        <v>2790.45</v>
      </c>
      <c r="L7" s="9"/>
      <c r="M7" s="10">
        <f t="shared" si="1"/>
        <v>0.41104000000000002</v>
      </c>
      <c r="O7" s="8">
        <v>10000</v>
      </c>
    </row>
    <row r="8" spans="1:16" s="7" customFormat="1" ht="23.1" customHeight="1" x14ac:dyDescent="0.3">
      <c r="A8" s="4"/>
      <c r="B8" s="4"/>
      <c r="C8" s="4" t="s">
        <v>8</v>
      </c>
      <c r="D8" s="4"/>
      <c r="E8" s="4"/>
      <c r="F8" s="4"/>
      <c r="G8" s="8">
        <v>0</v>
      </c>
      <c r="H8" s="8"/>
      <c r="I8" s="8">
        <v>3508.57</v>
      </c>
      <c r="J8" s="8"/>
      <c r="K8" s="8">
        <f t="shared" si="0"/>
        <v>-3508.57</v>
      </c>
      <c r="L8" s="9"/>
      <c r="M8" s="10">
        <f t="shared" si="1"/>
        <v>-1</v>
      </c>
      <c r="O8" s="8">
        <v>0</v>
      </c>
    </row>
    <row r="9" spans="1:16" s="7" customFormat="1" ht="23.1" customHeight="1" x14ac:dyDescent="0.3">
      <c r="A9" s="4"/>
      <c r="B9" s="4"/>
      <c r="C9" s="4" t="s">
        <v>9</v>
      </c>
      <c r="D9" s="4"/>
      <c r="E9" s="4"/>
      <c r="F9" s="4"/>
      <c r="G9" s="8">
        <v>0</v>
      </c>
      <c r="H9" s="8"/>
      <c r="I9" s="8">
        <v>8260.84</v>
      </c>
      <c r="J9" s="8"/>
      <c r="K9" s="37">
        <f t="shared" si="0"/>
        <v>-8260.84</v>
      </c>
      <c r="L9" s="9"/>
      <c r="M9" s="10">
        <f t="shared" si="1"/>
        <v>-1</v>
      </c>
      <c r="O9" s="8">
        <v>10000</v>
      </c>
      <c r="P9" s="7" t="s">
        <v>75</v>
      </c>
    </row>
    <row r="10" spans="1:16" s="7" customFormat="1" ht="23.1" customHeight="1" x14ac:dyDescent="0.3">
      <c r="A10" s="4"/>
      <c r="B10" s="4"/>
      <c r="C10" s="4" t="s">
        <v>10</v>
      </c>
      <c r="D10" s="4"/>
      <c r="E10" s="4"/>
      <c r="F10" s="4"/>
      <c r="G10" s="8">
        <v>17.71</v>
      </c>
      <c r="H10" s="8"/>
      <c r="I10" s="8">
        <v>29.02</v>
      </c>
      <c r="J10" s="8"/>
      <c r="K10" s="8">
        <f t="shared" si="0"/>
        <v>-11.31</v>
      </c>
      <c r="L10" s="9"/>
      <c r="M10" s="10">
        <f t="shared" si="1"/>
        <v>-0.38973000000000002</v>
      </c>
      <c r="O10" s="8"/>
    </row>
    <row r="11" spans="1:16" s="7" customFormat="1" ht="23.1" hidden="1" customHeight="1" x14ac:dyDescent="0.3">
      <c r="A11" s="4"/>
      <c r="B11" s="4"/>
      <c r="C11" s="4" t="s">
        <v>11</v>
      </c>
      <c r="D11" s="4"/>
      <c r="E11" s="4"/>
      <c r="F11" s="4"/>
      <c r="G11" s="8"/>
      <c r="H11" s="8"/>
      <c r="I11" s="8"/>
      <c r="J11" s="8"/>
      <c r="K11" s="8"/>
      <c r="L11" s="9"/>
      <c r="M11" s="10"/>
      <c r="O11" s="8"/>
    </row>
    <row r="12" spans="1:16" s="7" customFormat="1" ht="23.1" hidden="1" customHeight="1" x14ac:dyDescent="0.3">
      <c r="A12" s="4"/>
      <c r="B12" s="4"/>
      <c r="C12" s="4"/>
      <c r="D12" s="4" t="s">
        <v>6</v>
      </c>
      <c r="E12" s="4"/>
      <c r="F12" s="4"/>
      <c r="G12" s="8">
        <v>0</v>
      </c>
      <c r="H12" s="8"/>
      <c r="I12" s="8">
        <v>-485.32</v>
      </c>
      <c r="J12" s="8"/>
      <c r="K12" s="8">
        <f t="shared" ref="K12:K18" si="2">ROUND((G12-I12),5)</f>
        <v>485.32</v>
      </c>
      <c r="L12" s="9"/>
      <c r="M12" s="10">
        <f t="shared" ref="M12:M18" si="3">ROUND(IF(G12=0, IF(I12=0, 0, SIGN(-I12)), IF(I12=0, SIGN(G12), (G12-I12)/ABS(I12))),5)</f>
        <v>1</v>
      </c>
      <c r="O12" s="8">
        <v>0</v>
      </c>
    </row>
    <row r="13" spans="1:16" s="7" customFormat="1" ht="23.1" hidden="1" customHeight="1" x14ac:dyDescent="0.3">
      <c r="A13" s="4"/>
      <c r="B13" s="4"/>
      <c r="C13" s="4"/>
      <c r="D13" s="4" t="s">
        <v>4</v>
      </c>
      <c r="E13" s="4"/>
      <c r="F13" s="4"/>
      <c r="G13" s="8">
        <v>16804.240000000002</v>
      </c>
      <c r="H13" s="8"/>
      <c r="I13" s="8">
        <v>29767.93</v>
      </c>
      <c r="J13" s="8"/>
      <c r="K13" s="8">
        <f t="shared" si="2"/>
        <v>-12963.69</v>
      </c>
      <c r="L13" s="9"/>
      <c r="M13" s="10">
        <f t="shared" si="3"/>
        <v>-0.43548999999999999</v>
      </c>
      <c r="O13" s="8">
        <v>15000</v>
      </c>
    </row>
    <row r="14" spans="1:16" s="7" customFormat="1" ht="23.1" hidden="1" customHeight="1" x14ac:dyDescent="0.3">
      <c r="A14" s="4"/>
      <c r="B14" s="4"/>
      <c r="C14" s="4"/>
      <c r="D14" s="4" t="s">
        <v>12</v>
      </c>
      <c r="E14" s="4"/>
      <c r="F14" s="4"/>
      <c r="G14" s="8">
        <v>0</v>
      </c>
      <c r="H14" s="8"/>
      <c r="I14" s="8">
        <v>-10441.51</v>
      </c>
      <c r="J14" s="8"/>
      <c r="K14" s="8">
        <f t="shared" si="2"/>
        <v>10441.51</v>
      </c>
      <c r="L14" s="9"/>
      <c r="M14" s="10">
        <f t="shared" si="3"/>
        <v>1</v>
      </c>
      <c r="O14" s="8">
        <v>0</v>
      </c>
    </row>
    <row r="15" spans="1:16" s="7" customFormat="1" ht="23.1" hidden="1" customHeight="1" thickBot="1" x14ac:dyDescent="0.35">
      <c r="A15" s="4"/>
      <c r="B15" s="4"/>
      <c r="C15" s="4"/>
      <c r="D15" s="4" t="s">
        <v>13</v>
      </c>
      <c r="E15" s="4"/>
      <c r="F15" s="4"/>
      <c r="G15" s="11">
        <v>10870</v>
      </c>
      <c r="H15" s="8"/>
      <c r="I15" s="11">
        <v>0</v>
      </c>
      <c r="J15" s="8"/>
      <c r="K15" s="11">
        <f t="shared" si="2"/>
        <v>10870</v>
      </c>
      <c r="L15" s="9"/>
      <c r="M15" s="12">
        <f t="shared" si="3"/>
        <v>1</v>
      </c>
      <c r="O15" s="11">
        <v>0</v>
      </c>
    </row>
    <row r="16" spans="1:16" s="7" customFormat="1" ht="23.1" customHeight="1" x14ac:dyDescent="0.3">
      <c r="A16" s="4"/>
      <c r="B16" s="4"/>
      <c r="C16" s="4" t="s">
        <v>14</v>
      </c>
      <c r="D16" s="4"/>
      <c r="E16" s="4"/>
      <c r="F16" s="4"/>
      <c r="G16" s="8">
        <f>ROUND(SUM(G11:G15),5)</f>
        <v>27674.240000000002</v>
      </c>
      <c r="H16" s="8"/>
      <c r="I16" s="8">
        <f>ROUND(SUM(I11:I15),5)</f>
        <v>18841.099999999999</v>
      </c>
      <c r="J16" s="8"/>
      <c r="K16" s="8">
        <f t="shared" si="2"/>
        <v>8833.14</v>
      </c>
      <c r="L16" s="9"/>
      <c r="M16" s="10">
        <f t="shared" si="3"/>
        <v>0.46882000000000001</v>
      </c>
      <c r="O16" s="8">
        <f>ROUND(SUM(O11:O15),5)</f>
        <v>15000</v>
      </c>
      <c r="P16" s="7" t="s">
        <v>99</v>
      </c>
    </row>
    <row r="17" spans="1:16" s="7" customFormat="1" ht="23.1" customHeight="1" x14ac:dyDescent="0.3">
      <c r="A17" s="4"/>
      <c r="B17" s="4"/>
      <c r="C17" s="4" t="s">
        <v>15</v>
      </c>
      <c r="D17" s="4"/>
      <c r="E17" s="4"/>
      <c r="F17" s="4"/>
      <c r="G17" s="8">
        <v>3051.25</v>
      </c>
      <c r="H17" s="8"/>
      <c r="I17" s="8">
        <v>1250</v>
      </c>
      <c r="J17" s="8"/>
      <c r="K17" s="8">
        <f t="shared" si="2"/>
        <v>1801.25</v>
      </c>
      <c r="L17" s="9"/>
      <c r="M17" s="10">
        <f t="shared" si="3"/>
        <v>1.4410000000000001</v>
      </c>
      <c r="O17" s="8"/>
      <c r="P17" s="7" t="s">
        <v>77</v>
      </c>
    </row>
    <row r="18" spans="1:16" s="7" customFormat="1" ht="23.1" customHeight="1" x14ac:dyDescent="0.3">
      <c r="A18" s="4"/>
      <c r="B18" s="4"/>
      <c r="C18" s="4" t="s">
        <v>16</v>
      </c>
      <c r="D18" s="4"/>
      <c r="E18" s="4"/>
      <c r="F18" s="4"/>
      <c r="G18" s="8">
        <v>500</v>
      </c>
      <c r="H18" s="8"/>
      <c r="I18" s="8">
        <v>250</v>
      </c>
      <c r="J18" s="8"/>
      <c r="K18" s="8">
        <f t="shared" si="2"/>
        <v>250</v>
      </c>
      <c r="L18" s="9"/>
      <c r="M18" s="10">
        <f t="shared" si="3"/>
        <v>1</v>
      </c>
      <c r="O18" s="8"/>
      <c r="P18" s="7" t="s">
        <v>78</v>
      </c>
    </row>
    <row r="19" spans="1:16" s="7" customFormat="1" ht="23.1" hidden="1" customHeight="1" x14ac:dyDescent="0.3">
      <c r="A19" s="4"/>
      <c r="B19" s="4"/>
      <c r="C19" s="4" t="s">
        <v>17</v>
      </c>
      <c r="D19" s="4"/>
      <c r="E19" s="4"/>
      <c r="F19" s="4"/>
      <c r="G19" s="8"/>
      <c r="H19" s="8"/>
      <c r="I19" s="8"/>
      <c r="J19" s="8"/>
      <c r="K19" s="8"/>
      <c r="L19" s="9"/>
      <c r="M19" s="10"/>
      <c r="O19" s="8"/>
    </row>
    <row r="20" spans="1:16" s="7" customFormat="1" ht="23.1" hidden="1" customHeight="1" x14ac:dyDescent="0.3">
      <c r="A20" s="4"/>
      <c r="B20" s="4"/>
      <c r="C20" s="4"/>
      <c r="D20" s="4" t="s">
        <v>18</v>
      </c>
      <c r="E20" s="4"/>
      <c r="F20" s="4"/>
      <c r="G20" s="8">
        <v>-418</v>
      </c>
      <c r="H20" s="8"/>
      <c r="I20" s="8">
        <v>-1995.69</v>
      </c>
      <c r="J20" s="8"/>
      <c r="K20" s="8">
        <f>ROUND((G20-I20),5)</f>
        <v>1577.69</v>
      </c>
      <c r="L20" s="9"/>
      <c r="M20" s="10">
        <f>ROUND(IF(G20=0, IF(I20=0, 0, SIGN(-I20)), IF(I20=0, SIGN(G20), (G20-I20)/ABS(I20))),5)</f>
        <v>0.79054999999999997</v>
      </c>
      <c r="O20" s="8">
        <v>15000</v>
      </c>
      <c r="P20" s="7" t="s">
        <v>79</v>
      </c>
    </row>
    <row r="21" spans="1:16" s="7" customFormat="1" ht="23.1" hidden="1" customHeight="1" x14ac:dyDescent="0.3">
      <c r="A21" s="4"/>
      <c r="B21" s="4"/>
      <c r="C21" s="4"/>
      <c r="D21" s="4" t="s">
        <v>19</v>
      </c>
      <c r="E21" s="4"/>
      <c r="F21" s="4"/>
      <c r="G21" s="8"/>
      <c r="H21" s="8"/>
      <c r="I21" s="8"/>
      <c r="J21" s="8"/>
      <c r="K21" s="8"/>
      <c r="L21" s="9"/>
      <c r="M21" s="10"/>
      <c r="O21" s="8"/>
    </row>
    <row r="22" spans="1:16" s="7" customFormat="1" ht="23.1" hidden="1" customHeight="1" x14ac:dyDescent="0.3">
      <c r="A22" s="4"/>
      <c r="B22" s="4"/>
      <c r="C22" s="4"/>
      <c r="D22" s="4"/>
      <c r="E22" s="4" t="s">
        <v>20</v>
      </c>
      <c r="F22" s="4"/>
      <c r="G22" s="8"/>
      <c r="H22" s="8"/>
      <c r="I22" s="8"/>
      <c r="J22" s="8"/>
      <c r="K22" s="8"/>
      <c r="L22" s="9"/>
      <c r="M22" s="10"/>
      <c r="O22" s="8"/>
    </row>
    <row r="23" spans="1:16" s="7" customFormat="1" ht="23.1" hidden="1" customHeight="1" x14ac:dyDescent="0.3">
      <c r="A23" s="4"/>
      <c r="B23" s="4"/>
      <c r="C23" s="4"/>
      <c r="D23" s="4"/>
      <c r="E23" s="4"/>
      <c r="F23" s="4" t="s">
        <v>21</v>
      </c>
      <c r="G23" s="8">
        <v>-12366.43</v>
      </c>
      <c r="H23" s="8"/>
      <c r="I23" s="8">
        <v>-11131.87</v>
      </c>
      <c r="J23" s="8"/>
      <c r="K23" s="8">
        <f>ROUND((G23-I23),5)</f>
        <v>-1234.56</v>
      </c>
      <c r="L23" s="9"/>
      <c r="M23" s="10">
        <f>ROUND(IF(G23=0, IF(I23=0, 0, SIGN(-I23)), IF(I23=0, SIGN(G23), (G23-I23)/ABS(I23))),5)</f>
        <v>-0.1109</v>
      </c>
      <c r="O23" s="8"/>
    </row>
    <row r="24" spans="1:16" s="7" customFormat="1" ht="23.1" hidden="1" customHeight="1" thickBot="1" x14ac:dyDescent="0.35">
      <c r="A24" s="4"/>
      <c r="B24" s="4"/>
      <c r="C24" s="4"/>
      <c r="D24" s="4"/>
      <c r="E24" s="4"/>
      <c r="F24" s="4" t="s">
        <v>22</v>
      </c>
      <c r="G24" s="11">
        <v>25682.86</v>
      </c>
      <c r="H24" s="8"/>
      <c r="I24" s="11">
        <v>23556.31</v>
      </c>
      <c r="J24" s="8"/>
      <c r="K24" s="11">
        <f>ROUND((G24-I24),5)</f>
        <v>2126.5500000000002</v>
      </c>
      <c r="L24" s="9"/>
      <c r="M24" s="12">
        <f>ROUND(IF(G24=0, IF(I24=0, 0, SIGN(-I24)), IF(I24=0, SIGN(G24), (G24-I24)/ABS(I24))),5)</f>
        <v>9.0279999999999999E-2</v>
      </c>
      <c r="O24" s="11"/>
    </row>
    <row r="25" spans="1:16" s="7" customFormat="1" ht="23.1" hidden="1" customHeight="1" x14ac:dyDescent="0.3">
      <c r="A25" s="4"/>
      <c r="B25" s="4"/>
      <c r="C25" s="4"/>
      <c r="D25" s="4"/>
      <c r="E25" s="4" t="s">
        <v>23</v>
      </c>
      <c r="F25" s="4"/>
      <c r="G25" s="8">
        <f>ROUND(SUM(G22:G24),5)</f>
        <v>13316.43</v>
      </c>
      <c r="H25" s="8"/>
      <c r="I25" s="8">
        <f>ROUND(SUM(I22:I24),5)</f>
        <v>12424.44</v>
      </c>
      <c r="J25" s="8"/>
      <c r="K25" s="8">
        <f>ROUND((G25-I25),5)</f>
        <v>891.99</v>
      </c>
      <c r="L25" s="9"/>
      <c r="M25" s="10">
        <f>ROUND(IF(G25=0, IF(I25=0, 0, SIGN(-I25)), IF(I25=0, SIGN(G25), (G25-I25)/ABS(I25))),5)</f>
        <v>7.1790000000000007E-2</v>
      </c>
      <c r="O25" s="8">
        <f>ROUND(SUM(O22:O24),5)</f>
        <v>0</v>
      </c>
    </row>
    <row r="26" spans="1:16" s="7" customFormat="1" ht="23.1" hidden="1" customHeight="1" x14ac:dyDescent="0.3">
      <c r="A26" s="4"/>
      <c r="B26" s="4"/>
      <c r="C26" s="4"/>
      <c r="D26" s="4"/>
      <c r="E26" s="4" t="s">
        <v>24</v>
      </c>
      <c r="F26" s="4"/>
      <c r="G26" s="8"/>
      <c r="H26" s="8"/>
      <c r="I26" s="8"/>
      <c r="J26" s="8"/>
      <c r="K26" s="8"/>
      <c r="L26" s="9"/>
      <c r="M26" s="10"/>
      <c r="O26" s="8"/>
    </row>
    <row r="27" spans="1:16" s="7" customFormat="1" ht="23.1" hidden="1" customHeight="1" x14ac:dyDescent="0.3">
      <c r="A27" s="4"/>
      <c r="B27" s="4"/>
      <c r="C27" s="4"/>
      <c r="D27" s="4"/>
      <c r="E27" s="4"/>
      <c r="F27" s="4" t="s">
        <v>25</v>
      </c>
      <c r="G27" s="8">
        <v>0</v>
      </c>
      <c r="H27" s="8"/>
      <c r="I27" s="8">
        <v>-337.57</v>
      </c>
      <c r="J27" s="8"/>
      <c r="K27" s="8">
        <f>ROUND((G27-I27),5)</f>
        <v>337.57</v>
      </c>
      <c r="L27" s="9"/>
      <c r="M27" s="10">
        <f>ROUND(IF(G27=0, IF(I27=0, 0, SIGN(-I27)), IF(I27=0, SIGN(G27), (G27-I27)/ABS(I27))),5)</f>
        <v>1</v>
      </c>
      <c r="O27" s="8">
        <v>0</v>
      </c>
    </row>
    <row r="28" spans="1:16" s="7" customFormat="1" ht="23.1" hidden="1" customHeight="1" thickBot="1" x14ac:dyDescent="0.35">
      <c r="A28" s="4"/>
      <c r="B28" s="4"/>
      <c r="C28" s="4"/>
      <c r="D28" s="4"/>
      <c r="E28" s="4"/>
      <c r="F28" s="4" t="s">
        <v>26</v>
      </c>
      <c r="G28" s="11">
        <v>788.5</v>
      </c>
      <c r="H28" s="8"/>
      <c r="I28" s="11">
        <v>1102.57</v>
      </c>
      <c r="J28" s="8"/>
      <c r="K28" s="11">
        <f>ROUND((G28-I28),5)</f>
        <v>-314.07</v>
      </c>
      <c r="L28" s="9"/>
      <c r="M28" s="12">
        <f>ROUND(IF(G28=0, IF(I28=0, 0, SIGN(-I28)), IF(I28=0, SIGN(G28), (G28-I28)/ABS(I28))),5)</f>
        <v>-0.28484999999999999</v>
      </c>
      <c r="O28" s="11"/>
    </row>
    <row r="29" spans="1:16" s="7" customFormat="1" ht="23.1" hidden="1" customHeight="1" x14ac:dyDescent="0.3">
      <c r="A29" s="4"/>
      <c r="B29" s="4"/>
      <c r="C29" s="4"/>
      <c r="D29" s="4"/>
      <c r="E29" s="4" t="s">
        <v>27</v>
      </c>
      <c r="F29" s="4"/>
      <c r="G29" s="8">
        <f>ROUND(SUM(G26:G28),5)</f>
        <v>788.5</v>
      </c>
      <c r="H29" s="8"/>
      <c r="I29" s="8">
        <f>ROUND(SUM(I26:I28),5)</f>
        <v>765</v>
      </c>
      <c r="J29" s="8"/>
      <c r="K29" s="8">
        <f>ROUND((G29-I29),5)</f>
        <v>23.5</v>
      </c>
      <c r="L29" s="9"/>
      <c r="M29" s="10">
        <f>ROUND(IF(G29=0, IF(I29=0, 0, SIGN(-I29)), IF(I29=0, SIGN(G29), (G29-I29)/ABS(I29))),5)</f>
        <v>3.0720000000000001E-2</v>
      </c>
      <c r="O29" s="8">
        <f>ROUND(SUM(O26:O28),5)</f>
        <v>0</v>
      </c>
    </row>
    <row r="30" spans="1:16" s="7" customFormat="1" ht="23.1" hidden="1" customHeight="1" thickBot="1" x14ac:dyDescent="0.35">
      <c r="A30" s="4"/>
      <c r="B30" s="4"/>
      <c r="C30" s="4"/>
      <c r="D30" s="4"/>
      <c r="E30" s="4" t="s">
        <v>28</v>
      </c>
      <c r="F30" s="4"/>
      <c r="G30" s="11">
        <f>22.51+474</f>
        <v>496.51</v>
      </c>
      <c r="H30" s="8"/>
      <c r="I30" s="11">
        <v>0</v>
      </c>
      <c r="J30" s="8"/>
      <c r="K30" s="11">
        <f>ROUND((G30-I30),5)</f>
        <v>496.51</v>
      </c>
      <c r="L30" s="9"/>
      <c r="M30" s="12">
        <f>ROUND(IF(G30=0, IF(I30=0, 0, SIGN(-I30)), IF(I30=0, SIGN(G30), (G30-I30)/ABS(I30))),5)</f>
        <v>1</v>
      </c>
      <c r="O30" s="11"/>
      <c r="P30" s="7" t="s">
        <v>89</v>
      </c>
    </row>
    <row r="31" spans="1:16" s="7" customFormat="1" ht="23.1" hidden="1" customHeight="1" x14ac:dyDescent="0.3">
      <c r="A31" s="4"/>
      <c r="B31" s="4"/>
      <c r="C31" s="4"/>
      <c r="D31" s="4" t="s">
        <v>29</v>
      </c>
      <c r="E31" s="4"/>
      <c r="F31" s="4"/>
      <c r="G31" s="8">
        <f>ROUND(G21+G25+SUM(G29:G30),5)</f>
        <v>14601.44</v>
      </c>
      <c r="H31" s="8"/>
      <c r="I31" s="8">
        <f>ROUND(I21+I25+SUM(I29:I30),5)</f>
        <v>13189.44</v>
      </c>
      <c r="J31" s="8"/>
      <c r="K31" s="8">
        <f>ROUND((G31-I31),5)</f>
        <v>1412</v>
      </c>
      <c r="L31" s="9"/>
      <c r="M31" s="10">
        <f>ROUND(IF(G31=0, IF(I31=0, 0, SIGN(-I31)), IF(I31=0, SIGN(G31), (G31-I31)/ABS(I31))),5)</f>
        <v>0.10706</v>
      </c>
      <c r="O31" s="8">
        <f>ROUND(O21+O25+SUM(O29:O30),5)</f>
        <v>0</v>
      </c>
    </row>
    <row r="32" spans="1:16" s="7" customFormat="1" ht="23.1" hidden="1" customHeight="1" x14ac:dyDescent="0.3">
      <c r="A32" s="4"/>
      <c r="B32" s="4"/>
      <c r="C32" s="4"/>
      <c r="D32" s="4" t="s">
        <v>30</v>
      </c>
      <c r="E32" s="4"/>
      <c r="F32" s="4"/>
      <c r="G32" s="8"/>
      <c r="H32" s="8"/>
      <c r="I32" s="8"/>
      <c r="J32" s="8"/>
      <c r="K32" s="8"/>
      <c r="L32" s="9"/>
      <c r="M32" s="10"/>
      <c r="O32" s="8"/>
    </row>
    <row r="33" spans="1:16" s="7" customFormat="1" ht="23.1" hidden="1" customHeight="1" x14ac:dyDescent="0.3">
      <c r="A33" s="4"/>
      <c r="B33" s="4"/>
      <c r="C33" s="4"/>
      <c r="D33" s="4"/>
      <c r="E33" s="4" t="s">
        <v>31</v>
      </c>
      <c r="F33" s="4"/>
      <c r="G33" s="8"/>
      <c r="H33" s="8"/>
      <c r="I33" s="8"/>
      <c r="J33" s="8"/>
      <c r="K33" s="8"/>
      <c r="L33" s="9"/>
      <c r="M33" s="10"/>
      <c r="O33" s="8"/>
    </row>
    <row r="34" spans="1:16" s="7" customFormat="1" ht="23.1" hidden="1" customHeight="1" x14ac:dyDescent="0.3">
      <c r="A34" s="4"/>
      <c r="B34" s="4"/>
      <c r="C34" s="4"/>
      <c r="D34" s="4"/>
      <c r="E34" s="4"/>
      <c r="F34" s="4" t="s">
        <v>32</v>
      </c>
      <c r="G34" s="8">
        <v>0</v>
      </c>
      <c r="H34" s="8"/>
      <c r="I34" s="8">
        <v>-612.5</v>
      </c>
      <c r="J34" s="8"/>
      <c r="K34" s="8">
        <f>ROUND((G34-I34),5)</f>
        <v>612.5</v>
      </c>
      <c r="L34" s="9"/>
      <c r="M34" s="10">
        <f>ROUND(IF(G34=0, IF(I34=0, 0, SIGN(-I34)), IF(I34=0, SIGN(G34), (G34-I34)/ABS(I34))),5)</f>
        <v>1</v>
      </c>
      <c r="O34" s="8">
        <v>0</v>
      </c>
    </row>
    <row r="35" spans="1:16" s="7" customFormat="1" ht="23.1" hidden="1" customHeight="1" x14ac:dyDescent="0.3">
      <c r="A35" s="4"/>
      <c r="B35" s="4"/>
      <c r="C35" s="4"/>
      <c r="D35" s="4"/>
      <c r="E35" s="4"/>
      <c r="F35" s="4" t="s">
        <v>33</v>
      </c>
      <c r="G35" s="8">
        <v>0</v>
      </c>
      <c r="H35" s="8"/>
      <c r="I35" s="8">
        <v>-375</v>
      </c>
      <c r="J35" s="8"/>
      <c r="K35" s="8">
        <f>ROUND((G35-I35),5)</f>
        <v>375</v>
      </c>
      <c r="L35" s="9"/>
      <c r="M35" s="10">
        <f>ROUND(IF(G35=0, IF(I35=0, 0, SIGN(-I35)), IF(I35=0, SIGN(G35), (G35-I35)/ABS(I35))),5)</f>
        <v>1</v>
      </c>
      <c r="O35" s="8">
        <v>0</v>
      </c>
    </row>
    <row r="36" spans="1:16" s="7" customFormat="1" ht="23.1" hidden="1" customHeight="1" thickBot="1" x14ac:dyDescent="0.35">
      <c r="A36" s="4"/>
      <c r="B36" s="4"/>
      <c r="C36" s="4"/>
      <c r="D36" s="4"/>
      <c r="E36" s="4"/>
      <c r="F36" s="4" t="s">
        <v>34</v>
      </c>
      <c r="G36" s="11">
        <v>0</v>
      </c>
      <c r="H36" s="8"/>
      <c r="I36" s="11">
        <v>-5279.75</v>
      </c>
      <c r="J36" s="8"/>
      <c r="K36" s="11">
        <f>ROUND((G36-I36),5)</f>
        <v>5279.75</v>
      </c>
      <c r="L36" s="9"/>
      <c r="M36" s="12">
        <f>ROUND(IF(G36=0, IF(I36=0, 0, SIGN(-I36)), IF(I36=0, SIGN(G36), (G36-I36)/ABS(I36))),5)</f>
        <v>1</v>
      </c>
      <c r="O36" s="11">
        <v>0</v>
      </c>
    </row>
    <row r="37" spans="1:16" s="7" customFormat="1" ht="23.1" hidden="1" customHeight="1" x14ac:dyDescent="0.3">
      <c r="A37" s="4"/>
      <c r="B37" s="4"/>
      <c r="C37" s="4"/>
      <c r="D37" s="4"/>
      <c r="E37" s="4" t="s">
        <v>35</v>
      </c>
      <c r="F37" s="4"/>
      <c r="G37" s="8">
        <f>ROUND(SUM(G33:G36),5)</f>
        <v>0</v>
      </c>
      <c r="H37" s="8"/>
      <c r="I37" s="8">
        <f>ROUND(SUM(I33:I36),5)</f>
        <v>-6267.25</v>
      </c>
      <c r="J37" s="8"/>
      <c r="K37" s="8">
        <f>ROUND((G37-I37),5)</f>
        <v>6267.25</v>
      </c>
      <c r="L37" s="9"/>
      <c r="M37" s="10">
        <f>ROUND(IF(G37=0, IF(I37=0, 0, SIGN(-I37)), IF(I37=0, SIGN(G37), (G37-I37)/ABS(I37))),5)</f>
        <v>1</v>
      </c>
      <c r="O37" s="8">
        <f>ROUND(SUM(O33:O36),5)</f>
        <v>0</v>
      </c>
    </row>
    <row r="38" spans="1:16" s="7" customFormat="1" ht="23.1" hidden="1" customHeight="1" x14ac:dyDescent="0.3">
      <c r="A38" s="4"/>
      <c r="B38" s="4"/>
      <c r="C38" s="4"/>
      <c r="D38" s="4"/>
      <c r="E38" s="4" t="s">
        <v>36</v>
      </c>
      <c r="F38" s="4"/>
      <c r="G38" s="8"/>
      <c r="H38" s="8"/>
      <c r="I38" s="8"/>
      <c r="J38" s="8"/>
      <c r="K38" s="8"/>
      <c r="L38" s="9"/>
      <c r="M38" s="10"/>
      <c r="O38" s="8"/>
    </row>
    <row r="39" spans="1:16" s="7" customFormat="1" ht="23.1" hidden="1" customHeight="1" x14ac:dyDescent="0.3">
      <c r="A39" s="4"/>
      <c r="B39" s="4"/>
      <c r="C39" s="4"/>
      <c r="D39" s="4"/>
      <c r="E39" s="4"/>
      <c r="F39" s="4" t="s">
        <v>37</v>
      </c>
      <c r="G39" s="8">
        <v>0</v>
      </c>
      <c r="H39" s="8"/>
      <c r="I39" s="8">
        <v>220.5</v>
      </c>
      <c r="J39" s="8"/>
      <c r="K39" s="8">
        <f t="shared" ref="K39:K47" si="4">ROUND((G39-I39),5)</f>
        <v>-220.5</v>
      </c>
      <c r="L39" s="9"/>
      <c r="M39" s="10">
        <f t="shared" ref="M39:M47" si="5">ROUND(IF(G39=0, IF(I39=0, 0, SIGN(-I39)), IF(I39=0, SIGN(G39), (G39-I39)/ABS(I39))),5)</f>
        <v>-1</v>
      </c>
      <c r="O39" s="8">
        <v>0</v>
      </c>
    </row>
    <row r="40" spans="1:16" s="7" customFormat="1" ht="23.1" hidden="1" customHeight="1" x14ac:dyDescent="0.3">
      <c r="A40" s="4"/>
      <c r="B40" s="4"/>
      <c r="C40" s="4"/>
      <c r="D40" s="4"/>
      <c r="E40" s="4"/>
      <c r="F40" s="4" t="s">
        <v>32</v>
      </c>
      <c r="G40" s="8">
        <v>0</v>
      </c>
      <c r="H40" s="8"/>
      <c r="I40" s="8">
        <v>6895</v>
      </c>
      <c r="J40" s="8"/>
      <c r="K40" s="8">
        <f t="shared" si="4"/>
        <v>-6895</v>
      </c>
      <c r="L40" s="9"/>
      <c r="M40" s="10">
        <f t="shared" si="5"/>
        <v>-1</v>
      </c>
      <c r="O40" s="8">
        <v>0</v>
      </c>
    </row>
    <row r="41" spans="1:16" s="7" customFormat="1" ht="23.1" hidden="1" customHeight="1" x14ac:dyDescent="0.3">
      <c r="A41" s="4"/>
      <c r="B41" s="4"/>
      <c r="C41" s="4"/>
      <c r="D41" s="4"/>
      <c r="E41" s="4"/>
      <c r="F41" s="4" t="s">
        <v>38</v>
      </c>
      <c r="G41" s="8">
        <v>0</v>
      </c>
      <c r="H41" s="8"/>
      <c r="I41" s="8">
        <v>459</v>
      </c>
      <c r="J41" s="8"/>
      <c r="K41" s="8">
        <f t="shared" si="4"/>
        <v>-459</v>
      </c>
      <c r="L41" s="9"/>
      <c r="M41" s="10">
        <f t="shared" si="5"/>
        <v>-1</v>
      </c>
      <c r="O41" s="8">
        <v>0</v>
      </c>
    </row>
    <row r="42" spans="1:16" s="7" customFormat="1" ht="23.1" hidden="1" customHeight="1" x14ac:dyDescent="0.3">
      <c r="A42" s="4"/>
      <c r="B42" s="4"/>
      <c r="C42" s="4"/>
      <c r="D42" s="4"/>
      <c r="E42" s="4"/>
      <c r="F42" s="4" t="s">
        <v>33</v>
      </c>
      <c r="G42" s="8">
        <v>0</v>
      </c>
      <c r="H42" s="8"/>
      <c r="I42" s="8">
        <v>4171.5200000000004</v>
      </c>
      <c r="J42" s="8"/>
      <c r="K42" s="8">
        <f t="shared" si="4"/>
        <v>-4171.5200000000004</v>
      </c>
      <c r="L42" s="9"/>
      <c r="M42" s="10">
        <f t="shared" si="5"/>
        <v>-1</v>
      </c>
      <c r="O42" s="8">
        <v>0</v>
      </c>
    </row>
    <row r="43" spans="1:16" s="7" customFormat="1" ht="23.1" hidden="1" customHeight="1" thickBot="1" x14ac:dyDescent="0.35">
      <c r="A43" s="4"/>
      <c r="B43" s="4"/>
      <c r="C43" s="4"/>
      <c r="D43" s="4"/>
      <c r="E43" s="4"/>
      <c r="F43" s="4" t="s">
        <v>39</v>
      </c>
      <c r="G43" s="11">
        <v>0</v>
      </c>
      <c r="H43" s="8"/>
      <c r="I43" s="11">
        <v>26</v>
      </c>
      <c r="J43" s="8"/>
      <c r="K43" s="11">
        <f t="shared" si="4"/>
        <v>-26</v>
      </c>
      <c r="L43" s="9"/>
      <c r="M43" s="12">
        <f t="shared" si="5"/>
        <v>-1</v>
      </c>
      <c r="O43" s="11">
        <v>0</v>
      </c>
    </row>
    <row r="44" spans="1:16" s="7" customFormat="1" ht="23.1" hidden="1" customHeight="1" x14ac:dyDescent="0.3">
      <c r="A44" s="4"/>
      <c r="B44" s="4"/>
      <c r="C44" s="4"/>
      <c r="D44" s="4"/>
      <c r="E44" s="4" t="s">
        <v>40</v>
      </c>
      <c r="F44" s="4"/>
      <c r="G44" s="8">
        <f>ROUND(SUM(G38:G43),5)</f>
        <v>0</v>
      </c>
      <c r="H44" s="8"/>
      <c r="I44" s="8">
        <f>ROUND(SUM(I38:I43),5)</f>
        <v>11772.02</v>
      </c>
      <c r="J44" s="8"/>
      <c r="K44" s="8">
        <f t="shared" si="4"/>
        <v>-11772.02</v>
      </c>
      <c r="L44" s="9"/>
      <c r="M44" s="10">
        <f t="shared" si="5"/>
        <v>-1</v>
      </c>
      <c r="O44" s="8">
        <f>ROUND(SUM(O38:O43),5)</f>
        <v>0</v>
      </c>
    </row>
    <row r="45" spans="1:16" s="7" customFormat="1" ht="23.1" hidden="1" customHeight="1" thickBot="1" x14ac:dyDescent="0.35">
      <c r="A45" s="4"/>
      <c r="B45" s="4"/>
      <c r="C45" s="4"/>
      <c r="D45" s="4"/>
      <c r="E45" s="4" t="s">
        <v>41</v>
      </c>
      <c r="F45" s="4"/>
      <c r="G45" s="13">
        <v>220.5</v>
      </c>
      <c r="H45" s="8"/>
      <c r="I45" s="13">
        <v>0</v>
      </c>
      <c r="J45" s="8"/>
      <c r="K45" s="13">
        <f t="shared" si="4"/>
        <v>220.5</v>
      </c>
      <c r="L45" s="9"/>
      <c r="M45" s="14">
        <f t="shared" si="5"/>
        <v>1</v>
      </c>
      <c r="O45" s="13"/>
      <c r="P45" s="7" t="s">
        <v>83</v>
      </c>
    </row>
    <row r="46" spans="1:16" s="7" customFormat="1" ht="23.1" hidden="1" customHeight="1" thickBot="1" x14ac:dyDescent="0.35">
      <c r="A46" s="4"/>
      <c r="B46" s="4"/>
      <c r="C46" s="4"/>
      <c r="D46" s="4" t="s">
        <v>42</v>
      </c>
      <c r="E46" s="4"/>
      <c r="F46" s="4"/>
      <c r="G46" s="15">
        <f>ROUND(G32+G37+SUM(G44:G45),5)</f>
        <v>220.5</v>
      </c>
      <c r="H46" s="8"/>
      <c r="I46" s="15">
        <f>ROUND(I32+I37+SUM(I44:I45),5)</f>
        <v>5504.77</v>
      </c>
      <c r="J46" s="8"/>
      <c r="K46" s="15">
        <f t="shared" si="4"/>
        <v>-5284.27</v>
      </c>
      <c r="L46" s="9"/>
      <c r="M46" s="16">
        <f t="shared" si="5"/>
        <v>-0.95994000000000002</v>
      </c>
      <c r="O46" s="15">
        <f>ROUND(O32+O37+SUM(O44:O45),5)</f>
        <v>0</v>
      </c>
    </row>
    <row r="47" spans="1:16" s="7" customFormat="1" ht="23.1" customHeight="1" x14ac:dyDescent="0.3">
      <c r="A47" s="4"/>
      <c r="B47" s="4"/>
      <c r="C47" s="4" t="s">
        <v>43</v>
      </c>
      <c r="D47" s="4"/>
      <c r="E47" s="4"/>
      <c r="F47" s="4"/>
      <c r="G47" s="8">
        <f>ROUND(SUM(G19:G20)+G31+G46,5)</f>
        <v>14403.94</v>
      </c>
      <c r="H47" s="8"/>
      <c r="I47" s="8">
        <f>ROUND(SUM(I19:I20)+I31+I46,5)</f>
        <v>16698.52</v>
      </c>
      <c r="J47" s="8"/>
      <c r="K47" s="8">
        <f t="shared" si="4"/>
        <v>-2294.58</v>
      </c>
      <c r="L47" s="9"/>
      <c r="M47" s="10">
        <f t="shared" si="5"/>
        <v>-0.13741</v>
      </c>
      <c r="O47" s="8">
        <f>ROUND(SUM(O19:O20)+O31+O46,5)</f>
        <v>15000</v>
      </c>
    </row>
    <row r="48" spans="1:16" s="7" customFormat="1" ht="18.75" hidden="1" x14ac:dyDescent="0.3">
      <c r="A48" s="4"/>
      <c r="B48" s="4"/>
      <c r="C48" s="4" t="s">
        <v>44</v>
      </c>
      <c r="D48" s="4"/>
      <c r="E48" s="4"/>
      <c r="F48" s="4"/>
      <c r="G48" s="8"/>
      <c r="H48" s="8"/>
      <c r="I48" s="8"/>
      <c r="J48" s="8"/>
      <c r="K48" s="8"/>
      <c r="L48" s="9"/>
      <c r="M48" s="10"/>
      <c r="O48" s="8"/>
    </row>
    <row r="49" spans="1:16" s="7" customFormat="1" ht="19.5" hidden="1" thickBot="1" x14ac:dyDescent="0.35">
      <c r="A49" s="4"/>
      <c r="B49" s="4"/>
      <c r="C49" s="4"/>
      <c r="D49" s="4" t="s">
        <v>4</v>
      </c>
      <c r="E49" s="4"/>
      <c r="F49" s="4"/>
      <c r="G49" s="11">
        <v>1910.56</v>
      </c>
      <c r="H49" s="8"/>
      <c r="I49" s="11">
        <v>4116.96</v>
      </c>
      <c r="J49" s="8"/>
      <c r="K49" s="11">
        <f>ROUND((G49-I49),5)</f>
        <v>-2206.4</v>
      </c>
      <c r="L49" s="9"/>
      <c r="M49" s="12">
        <f>ROUND(IF(G49=0, IF(I49=0, 0, SIGN(-I49)), IF(I49=0, SIGN(G49), (G49-I49)/ABS(I49))),5)</f>
        <v>-0.53593000000000002</v>
      </c>
      <c r="O49" s="11">
        <v>4000</v>
      </c>
      <c r="P49" s="7" t="s">
        <v>91</v>
      </c>
    </row>
    <row r="50" spans="1:16" s="7" customFormat="1" ht="18.75" x14ac:dyDescent="0.3">
      <c r="A50" s="4"/>
      <c r="B50" s="4"/>
      <c r="C50" s="4" t="s">
        <v>45</v>
      </c>
      <c r="D50" s="4"/>
      <c r="E50" s="4"/>
      <c r="F50" s="4"/>
      <c r="G50" s="8">
        <f>ROUND(SUM(G48:G49),5)</f>
        <v>1910.56</v>
      </c>
      <c r="H50" s="8"/>
      <c r="I50" s="8">
        <f>ROUND(SUM(I48:I49),5)</f>
        <v>4116.96</v>
      </c>
      <c r="J50" s="8"/>
      <c r="K50" s="8">
        <f>ROUND((G50-I50),5)</f>
        <v>-2206.4</v>
      </c>
      <c r="L50" s="9"/>
      <c r="M50" s="10">
        <f>ROUND(IF(G50=0, IF(I50=0, 0, SIGN(-I50)), IF(I50=0, SIGN(G50), (G50-I50)/ABS(I50))),5)</f>
        <v>-0.53593000000000002</v>
      </c>
      <c r="O50" s="8">
        <f>ROUND(SUM(O48:O49),5)</f>
        <v>4000</v>
      </c>
      <c r="P50" s="26"/>
    </row>
    <row r="51" spans="1:16" s="7" customFormat="1" ht="23.1" hidden="1" customHeight="1" x14ac:dyDescent="0.3">
      <c r="A51" s="4"/>
      <c r="B51" s="4"/>
      <c r="C51" s="4" t="s">
        <v>46</v>
      </c>
      <c r="D51" s="4"/>
      <c r="E51" s="4"/>
      <c r="F51" s="4"/>
      <c r="G51" s="8"/>
      <c r="H51" s="8"/>
      <c r="I51" s="8"/>
      <c r="J51" s="8"/>
      <c r="K51" s="8"/>
      <c r="L51" s="9"/>
      <c r="M51" s="10"/>
      <c r="O51" s="8"/>
    </row>
    <row r="52" spans="1:16" s="7" customFormat="1" ht="23.1" hidden="1" customHeight="1" thickBot="1" x14ac:dyDescent="0.35">
      <c r="A52" s="4"/>
      <c r="B52" s="4"/>
      <c r="C52" s="4"/>
      <c r="D52" s="4" t="s">
        <v>4</v>
      </c>
      <c r="E52" s="4"/>
      <c r="F52" s="4"/>
      <c r="G52" s="11">
        <v>1322</v>
      </c>
      <c r="H52" s="8"/>
      <c r="I52" s="11">
        <v>1752</v>
      </c>
      <c r="J52" s="8"/>
      <c r="K52" s="11">
        <f>ROUND((G52-I52),5)</f>
        <v>-430</v>
      </c>
      <c r="L52" s="9"/>
      <c r="M52" s="12">
        <f>ROUND(IF(G52=0, IF(I52=0, 0, SIGN(-I52)), IF(I52=0, SIGN(G52), (G52-I52)/ABS(I52))),5)</f>
        <v>-0.24543000000000001</v>
      </c>
      <c r="O52" s="11">
        <v>1750</v>
      </c>
    </row>
    <row r="53" spans="1:16" s="7" customFormat="1" ht="23.1" customHeight="1" x14ac:dyDescent="0.3">
      <c r="A53" s="4"/>
      <c r="B53" s="4"/>
      <c r="C53" s="4" t="s">
        <v>47</v>
      </c>
      <c r="D53" s="4"/>
      <c r="E53" s="4"/>
      <c r="F53" s="4"/>
      <c r="G53" s="8">
        <f>ROUND(SUM(G51:G52),5)</f>
        <v>1322</v>
      </c>
      <c r="H53" s="8"/>
      <c r="I53" s="8">
        <f>ROUND(SUM(I51:I52),5)</f>
        <v>1752</v>
      </c>
      <c r="J53" s="8"/>
      <c r="K53" s="8">
        <f>ROUND((G53-I53),5)</f>
        <v>-430</v>
      </c>
      <c r="L53" s="9"/>
      <c r="M53" s="10">
        <f>ROUND(IF(G53=0, IF(I53=0, 0, SIGN(-I53)), IF(I53=0, SIGN(G53), (G53-I53)/ABS(I53))),5)</f>
        <v>-0.24543000000000001</v>
      </c>
      <c r="O53" s="8">
        <f>ROUND(SUM(O51:O52),5)</f>
        <v>1750</v>
      </c>
    </row>
    <row r="54" spans="1:16" s="7" customFormat="1" ht="23.1" customHeight="1" x14ac:dyDescent="0.3">
      <c r="A54" s="4"/>
      <c r="B54" s="4"/>
      <c r="C54" s="4" t="s">
        <v>48</v>
      </c>
      <c r="D54" s="4"/>
      <c r="E54" s="4"/>
      <c r="F54" s="4"/>
      <c r="G54" s="8">
        <v>2000</v>
      </c>
      <c r="H54" s="8"/>
      <c r="I54" s="8">
        <v>0</v>
      </c>
      <c r="J54" s="8"/>
      <c r="K54" s="8">
        <f>ROUND((G54-I54),5)</f>
        <v>2000</v>
      </c>
      <c r="L54" s="9"/>
      <c r="M54" s="10">
        <f>ROUND(IF(G54=0, IF(I54=0, 0, SIGN(-I54)), IF(I54=0, SIGN(G54), (G54-I54)/ABS(I54))),5)</f>
        <v>1</v>
      </c>
      <c r="O54" s="8"/>
    </row>
    <row r="55" spans="1:16" s="7" customFormat="1" ht="18.75" x14ac:dyDescent="0.3">
      <c r="A55" s="4"/>
      <c r="B55" s="4"/>
      <c r="C55" s="4" t="s">
        <v>49</v>
      </c>
      <c r="D55" s="4"/>
      <c r="E55" s="4"/>
      <c r="F55" s="4"/>
      <c r="G55" s="8"/>
      <c r="H55" s="8"/>
      <c r="I55" s="8"/>
      <c r="J55" s="8"/>
      <c r="K55" s="8"/>
      <c r="L55" s="9"/>
      <c r="M55" s="10"/>
      <c r="O55" s="8"/>
    </row>
    <row r="56" spans="1:16" s="7" customFormat="1" ht="18.75" x14ac:dyDescent="0.3">
      <c r="A56" s="4"/>
      <c r="B56" s="4"/>
      <c r="C56" s="4"/>
      <c r="D56" s="4" t="s">
        <v>6</v>
      </c>
      <c r="E56" s="4"/>
      <c r="F56" s="4"/>
      <c r="G56" s="8">
        <v>-23207.94</v>
      </c>
      <c r="H56" s="8"/>
      <c r="I56" s="8">
        <v>-20750.849999999999</v>
      </c>
      <c r="J56" s="8"/>
      <c r="K56" s="8">
        <f>ROUND((G56-I56),5)</f>
        <v>-2457.09</v>
      </c>
      <c r="L56" s="9"/>
      <c r="M56" s="10">
        <f>ROUND(IF(G56=0, IF(I56=0, 0, SIGN(-I56)), IF(I56=0, SIGN(G56), (G56-I56)/ABS(I56))),5)</f>
        <v>-0.11841</v>
      </c>
      <c r="O56" s="8"/>
    </row>
    <row r="57" spans="1:16" s="7" customFormat="1" ht="19.5" thickBot="1" x14ac:dyDescent="0.35">
      <c r="A57" s="4"/>
      <c r="B57" s="4"/>
      <c r="C57" s="4"/>
      <c r="D57" s="4" t="s">
        <v>4</v>
      </c>
      <c r="E57" s="4"/>
      <c r="F57" s="4"/>
      <c r="G57" s="11">
        <v>25346.06</v>
      </c>
      <c r="H57" s="8"/>
      <c r="I57" s="11">
        <v>27147.74</v>
      </c>
      <c r="J57" s="8"/>
      <c r="K57" s="11">
        <f>ROUND((G57-I57),5)</f>
        <v>-1801.68</v>
      </c>
      <c r="L57" s="9"/>
      <c r="M57" s="12">
        <f>ROUND(IF(G57=0, IF(I57=0, 0, SIGN(-I57)), IF(I57=0, SIGN(G57), (G57-I57)/ABS(I57))),5)</f>
        <v>-6.6369999999999998E-2</v>
      </c>
      <c r="O57" s="11">
        <v>5000</v>
      </c>
    </row>
    <row r="58" spans="1:16" s="7" customFormat="1" ht="23.1" customHeight="1" thickBot="1" x14ac:dyDescent="0.35">
      <c r="A58" s="4"/>
      <c r="B58" s="4"/>
      <c r="C58" s="4" t="s">
        <v>50</v>
      </c>
      <c r="D58" s="4"/>
      <c r="E58" s="4"/>
      <c r="F58" s="4"/>
      <c r="G58" s="8">
        <f>ROUND(SUM(G55:G57),5)</f>
        <v>2138.12</v>
      </c>
      <c r="H58" s="8"/>
      <c r="I58" s="8">
        <f>ROUND(SUM(I55:I57),5)</f>
        <v>6396.89</v>
      </c>
      <c r="J58" s="8"/>
      <c r="K58" s="37">
        <f>ROUND((G58-I58),5)</f>
        <v>-4258.7700000000004</v>
      </c>
      <c r="L58" s="9"/>
      <c r="M58" s="10">
        <f>ROUND(IF(G58=0, IF(I58=0, 0, SIGN(-I58)), IF(I58=0, SIGN(G58), (G58-I58)/ABS(I58))),5)</f>
        <v>-0.66576000000000002</v>
      </c>
      <c r="O58" s="8">
        <f>ROUND(SUM(O55:O57),5)</f>
        <v>5000</v>
      </c>
      <c r="P58" s="265" t="s">
        <v>107</v>
      </c>
    </row>
    <row r="59" spans="1:16" s="7" customFormat="1" ht="23.1" hidden="1" customHeight="1" x14ac:dyDescent="0.3">
      <c r="A59" s="4"/>
      <c r="B59" s="4"/>
      <c r="C59" s="4" t="s">
        <v>51</v>
      </c>
      <c r="D59" s="4"/>
      <c r="E59" s="4"/>
      <c r="F59" s="4"/>
      <c r="G59" s="8"/>
      <c r="H59" s="8"/>
      <c r="I59" s="8"/>
      <c r="J59" s="8"/>
      <c r="K59" s="8"/>
      <c r="L59" s="9"/>
      <c r="M59" s="10"/>
      <c r="O59" s="8"/>
      <c r="P59" s="265"/>
    </row>
    <row r="60" spans="1:16" s="7" customFormat="1" ht="23.1" hidden="1" customHeight="1" x14ac:dyDescent="0.3">
      <c r="A60" s="4"/>
      <c r="B60" s="4"/>
      <c r="C60" s="4"/>
      <c r="D60" s="4" t="s">
        <v>6</v>
      </c>
      <c r="E60" s="4"/>
      <c r="F60" s="4"/>
      <c r="G60" s="8">
        <v>-36</v>
      </c>
      <c r="H60" s="8"/>
      <c r="I60" s="8">
        <v>-270</v>
      </c>
      <c r="J60" s="8"/>
      <c r="K60" s="8">
        <f>ROUND((G60-I60),5)</f>
        <v>234</v>
      </c>
      <c r="L60" s="9"/>
      <c r="M60" s="10">
        <f>ROUND(IF(G60=0, IF(I60=0, 0, SIGN(-I60)), IF(I60=0, SIGN(G60), (G60-I60)/ABS(I60))),5)</f>
        <v>0.86667000000000005</v>
      </c>
      <c r="O60" s="8"/>
      <c r="P60" s="265"/>
    </row>
    <row r="61" spans="1:16" s="7" customFormat="1" ht="23.1" hidden="1" customHeight="1" thickBot="1" x14ac:dyDescent="0.35">
      <c r="A61" s="4"/>
      <c r="B61" s="4"/>
      <c r="C61" s="4"/>
      <c r="D61" s="4" t="s">
        <v>4</v>
      </c>
      <c r="E61" s="4"/>
      <c r="F61" s="4"/>
      <c r="G61" s="13">
        <v>0</v>
      </c>
      <c r="H61" s="8"/>
      <c r="I61" s="13">
        <v>205</v>
      </c>
      <c r="J61" s="8"/>
      <c r="K61" s="13">
        <f>ROUND((G61-I61),5)</f>
        <v>-205</v>
      </c>
      <c r="L61" s="9"/>
      <c r="M61" s="14">
        <f>ROUND(IF(G61=0, IF(I61=0, 0, SIGN(-I61)), IF(I61=0, SIGN(G61), (G61-I61)/ABS(I61))),5)</f>
        <v>-1</v>
      </c>
      <c r="O61" s="13">
        <v>200</v>
      </c>
      <c r="P61" s="265"/>
    </row>
    <row r="62" spans="1:16" s="7" customFormat="1" ht="23.1" customHeight="1" thickBot="1" x14ac:dyDescent="0.35">
      <c r="A62" s="4"/>
      <c r="B62" s="4"/>
      <c r="C62" s="4" t="s">
        <v>52</v>
      </c>
      <c r="D62" s="4"/>
      <c r="E62" s="4"/>
      <c r="F62" s="4"/>
      <c r="G62" s="15">
        <f>ROUND(SUM(G59:G61),5)</f>
        <v>-36</v>
      </c>
      <c r="H62" s="8"/>
      <c r="I62" s="15">
        <f>ROUND(SUM(I59:I61),5)</f>
        <v>-65</v>
      </c>
      <c r="J62" s="8"/>
      <c r="K62" s="15">
        <f>ROUND((G62-I62),5)</f>
        <v>29</v>
      </c>
      <c r="L62" s="9"/>
      <c r="M62" s="16">
        <f>ROUND(IF(G62=0, IF(I62=0, 0, SIGN(-I62)), IF(I62=0, SIGN(G62), (G62-I62)/ABS(I62))),5)</f>
        <v>0.44614999999999999</v>
      </c>
      <c r="O62" s="15">
        <f>ROUND(SUM(O59:O61),5)</f>
        <v>200</v>
      </c>
      <c r="P62" s="265"/>
    </row>
    <row r="63" spans="1:16" s="7" customFormat="1" ht="23.1" customHeight="1" x14ac:dyDescent="0.3">
      <c r="A63" s="4"/>
      <c r="B63" s="4" t="s">
        <v>53</v>
      </c>
      <c r="C63" s="4"/>
      <c r="D63" s="4"/>
      <c r="E63" s="4"/>
      <c r="F63" s="4"/>
      <c r="G63" s="8">
        <f>ROUND(G3+SUM(G7:G10)+SUM(G16:G18)+G47+G50+SUM(G53:G54)+G58+G62,5)</f>
        <v>62561.03</v>
      </c>
      <c r="H63" s="8"/>
      <c r="I63" s="8">
        <f>ROUND(I3+SUM(I7:I10)+SUM(I16:I18)+I47+I50+SUM(I53:I54)+I58+I62,5)</f>
        <v>67827.66</v>
      </c>
      <c r="J63" s="8"/>
      <c r="K63" s="8">
        <f>ROUND((G63-I63),5)</f>
        <v>-5266.63</v>
      </c>
      <c r="L63" s="9"/>
      <c r="M63" s="10">
        <f>ROUND(IF(G63=0, IF(I63=0, 0, SIGN(-I63)), IF(I63=0, SIGN(G63), (G63-I63)/ABS(I63))),5)</f>
        <v>-7.7649999999999997E-2</v>
      </c>
      <c r="O63" s="8">
        <f>ROUND(O3+SUM(O7:O10)+SUM(O16:O18)+O47+O50+SUM(O53:O54)+O58+O62,5)</f>
        <v>60950</v>
      </c>
    </row>
    <row r="64" spans="1:16" s="7" customFormat="1" ht="23.1" customHeight="1" x14ac:dyDescent="0.3">
      <c r="A64" s="4"/>
      <c r="B64" s="4" t="s">
        <v>6</v>
      </c>
      <c r="C64" s="4"/>
      <c r="D64" s="4"/>
      <c r="E64" s="4"/>
      <c r="F64" s="4"/>
      <c r="G64" s="8"/>
      <c r="H64" s="8"/>
      <c r="I64" s="8"/>
      <c r="J64" s="8"/>
      <c r="K64" s="8"/>
      <c r="L64" s="9"/>
      <c r="M64" s="10"/>
      <c r="O64" s="8"/>
    </row>
    <row r="65" spans="1:16" s="7" customFormat="1" ht="23.1" customHeight="1" x14ac:dyDescent="0.3">
      <c r="A65" s="4"/>
      <c r="B65" s="4"/>
      <c r="C65" s="4" t="s">
        <v>102</v>
      </c>
      <c r="D65" s="4"/>
      <c r="E65" s="4"/>
      <c r="F65" s="4"/>
      <c r="G65" s="8">
        <v>2704.43</v>
      </c>
      <c r="H65" s="8"/>
      <c r="I65" s="8">
        <v>3512.25</v>
      </c>
      <c r="J65" s="8"/>
      <c r="K65" s="8">
        <f>ROUND((G65-I65),5)</f>
        <v>-807.82</v>
      </c>
      <c r="L65" s="9"/>
      <c r="M65" s="10">
        <f>ROUND(IF(G65=0, IF(I65=0, 0, SIGN(-I65)), IF(I65=0, SIGN(G65), (G65-I65)/ABS(I65))),5)</f>
        <v>-0.23</v>
      </c>
      <c r="O65" s="8">
        <v>4100</v>
      </c>
    </row>
    <row r="66" spans="1:16" s="7" customFormat="1" ht="37.5" x14ac:dyDescent="0.3">
      <c r="A66" s="4"/>
      <c r="B66" s="4"/>
      <c r="C66" s="4" t="s">
        <v>55</v>
      </c>
      <c r="D66" s="4"/>
      <c r="E66" s="4"/>
      <c r="F66" s="4"/>
      <c r="G66" s="8">
        <v>14672.65</v>
      </c>
      <c r="H66" s="8"/>
      <c r="I66" s="8">
        <v>31802.32</v>
      </c>
      <c r="J66" s="8"/>
      <c r="K66" s="8">
        <f>ROUND((G66-I66),5)</f>
        <v>-17129.669999999998</v>
      </c>
      <c r="L66" s="9"/>
      <c r="M66" s="10">
        <f>ROUND(IF(G66=0, IF(I66=0, 0, SIGN(-I66)), IF(I66=0, SIGN(G66), (G66-I66)/ABS(I66))),5)</f>
        <v>-0.53863000000000005</v>
      </c>
      <c r="O66" s="8">
        <v>55000</v>
      </c>
      <c r="P66" s="26" t="s">
        <v>105</v>
      </c>
    </row>
    <row r="67" spans="1:16" s="7" customFormat="1" ht="23.1" customHeight="1" x14ac:dyDescent="0.3">
      <c r="A67" s="4"/>
      <c r="B67" s="4"/>
      <c r="C67" s="4" t="s">
        <v>56</v>
      </c>
      <c r="D67" s="4"/>
      <c r="E67" s="4"/>
      <c r="F67" s="4"/>
      <c r="G67" s="8">
        <v>417.1</v>
      </c>
      <c r="H67" s="8"/>
      <c r="I67" s="8">
        <v>1950.66</v>
      </c>
      <c r="J67" s="8"/>
      <c r="K67" s="8">
        <f>ROUND((G67-I67),5)</f>
        <v>-1533.56</v>
      </c>
      <c r="L67" s="9"/>
      <c r="M67" s="10">
        <f>ROUND(IF(G67=0, IF(I67=0, 0, SIGN(-I67)), IF(I67=0, SIGN(G67), (G67-I67)/ABS(I67))),5)</f>
        <v>-0.78617000000000004</v>
      </c>
      <c r="O67" s="8">
        <v>2000</v>
      </c>
    </row>
    <row r="68" spans="1:16" s="7" customFormat="1" ht="23.1" customHeight="1" x14ac:dyDescent="0.3">
      <c r="A68" s="4"/>
      <c r="B68" s="4"/>
      <c r="C68" s="4" t="s">
        <v>57</v>
      </c>
      <c r="D68" s="4"/>
      <c r="E68" s="4"/>
      <c r="F68" s="4"/>
      <c r="G68" s="8">
        <v>0</v>
      </c>
      <c r="H68" s="8"/>
      <c r="I68" s="8">
        <v>2562.9299999999998</v>
      </c>
      <c r="J68" s="8"/>
      <c r="K68" s="8">
        <f>ROUND((G68-I68),5)</f>
        <v>-2562.9299999999998</v>
      </c>
      <c r="L68" s="9"/>
      <c r="M68" s="10">
        <f>ROUND(IF(G68=0, IF(I68=0, 0, SIGN(-I68)), IF(I68=0, SIGN(G68), (G68-I68)/ABS(I68))),5)</f>
        <v>-1</v>
      </c>
      <c r="O68" s="8">
        <v>2500</v>
      </c>
    </row>
    <row r="69" spans="1:16" s="7" customFormat="1" ht="23.1" customHeight="1" x14ac:dyDescent="0.3">
      <c r="A69" s="4"/>
      <c r="B69" s="4"/>
      <c r="C69" s="4" t="s">
        <v>58</v>
      </c>
      <c r="D69" s="4"/>
      <c r="E69" s="4"/>
      <c r="F69" s="4"/>
      <c r="G69" s="8">
        <v>5000</v>
      </c>
      <c r="H69" s="8"/>
      <c r="I69" s="8">
        <v>5000</v>
      </c>
      <c r="J69" s="8"/>
      <c r="K69" s="8">
        <f>ROUND((G69-I69),5)</f>
        <v>0</v>
      </c>
      <c r="L69" s="9"/>
      <c r="M69" s="10">
        <f>ROUND(IF(G69=0, IF(I69=0, 0, SIGN(-I69)), IF(I69=0, SIGN(G69), (G69-I69)/ABS(I69))),5)</f>
        <v>0</v>
      </c>
      <c r="O69" s="8">
        <v>5000</v>
      </c>
    </row>
    <row r="70" spans="1:16" s="7" customFormat="1" ht="18.75" hidden="1" x14ac:dyDescent="0.3">
      <c r="A70" s="4"/>
      <c r="B70" s="4"/>
      <c r="C70" s="4" t="s">
        <v>59</v>
      </c>
      <c r="D70" s="4"/>
      <c r="E70" s="4"/>
      <c r="F70" s="4"/>
      <c r="G70" s="8"/>
      <c r="H70" s="8"/>
      <c r="I70" s="8"/>
      <c r="J70" s="8"/>
      <c r="K70" s="8"/>
      <c r="L70" s="9"/>
      <c r="M70" s="10"/>
      <c r="O70" s="8"/>
    </row>
    <row r="71" spans="1:16" s="7" customFormat="1" ht="18.75" hidden="1" x14ac:dyDescent="0.3">
      <c r="A71" s="4"/>
      <c r="B71" s="4"/>
      <c r="C71" s="4"/>
      <c r="D71" s="4" t="s">
        <v>71</v>
      </c>
      <c r="E71" s="4"/>
      <c r="F71" s="4"/>
      <c r="G71" s="8">
        <v>218.61</v>
      </c>
      <c r="H71" s="8"/>
      <c r="I71" s="8">
        <v>216.81</v>
      </c>
      <c r="J71" s="8"/>
      <c r="K71" s="8">
        <f>ROUND((G71-I71),5)</f>
        <v>1.8</v>
      </c>
      <c r="L71" s="9"/>
      <c r="M71" s="10">
        <f>ROUND(IF(G71=0, IF(I71=0, 0, SIGN(-I71)), IF(I71=0, SIGN(G71), (G71-I71)/ABS(I71))),5)</f>
        <v>8.3000000000000001E-3</v>
      </c>
      <c r="O71" s="8">
        <f>250+200</f>
        <v>450</v>
      </c>
    </row>
    <row r="72" spans="1:16" s="7" customFormat="1" ht="19.5" hidden="1" thickBot="1" x14ac:dyDescent="0.35">
      <c r="A72" s="4"/>
      <c r="B72" s="4"/>
      <c r="C72" s="4"/>
      <c r="D72" s="4" t="s">
        <v>60</v>
      </c>
      <c r="E72" s="4"/>
      <c r="F72" s="4"/>
      <c r="G72" s="11">
        <v>0</v>
      </c>
      <c r="H72" s="8"/>
      <c r="I72" s="11">
        <v>-1093.47</v>
      </c>
      <c r="J72" s="8"/>
      <c r="K72" s="11">
        <f>ROUND((G72-I72),5)</f>
        <v>1093.47</v>
      </c>
      <c r="L72" s="9"/>
      <c r="M72" s="12">
        <f>ROUND(IF(G72=0, IF(I72=0, 0, SIGN(-I72)), IF(I72=0, SIGN(G72), (G72-I72)/ABS(I72))),5)</f>
        <v>1</v>
      </c>
      <c r="O72" s="11">
        <v>0</v>
      </c>
    </row>
    <row r="73" spans="1:16" s="7" customFormat="1" ht="23.1" customHeight="1" x14ac:dyDescent="0.3">
      <c r="A73" s="4"/>
      <c r="B73" s="4"/>
      <c r="C73" s="4" t="s">
        <v>61</v>
      </c>
      <c r="D73" s="4"/>
      <c r="E73" s="4"/>
      <c r="F73" s="4"/>
      <c r="G73" s="8">
        <f>ROUND(SUM(G70:G72),5)</f>
        <v>218.61</v>
      </c>
      <c r="H73" s="8"/>
      <c r="I73" s="8">
        <f>ROUND(SUM(I70:I72),5)</f>
        <v>-876.66</v>
      </c>
      <c r="J73" s="8"/>
      <c r="K73" s="8">
        <f>ROUND((G73-I73),5)</f>
        <v>1095.27</v>
      </c>
      <c r="L73" s="9"/>
      <c r="M73" s="10">
        <f>ROUND(IF(G73=0, IF(I73=0, 0, SIGN(-I73)), IF(I73=0, SIGN(G73), (G73-I73)/ABS(I73))),5)</f>
        <v>1.2493700000000001</v>
      </c>
      <c r="O73" s="8">
        <f>ROUND(SUM(O70:O72),5)</f>
        <v>450</v>
      </c>
    </row>
    <row r="74" spans="1:16" s="7" customFormat="1" ht="23.1" customHeight="1" x14ac:dyDescent="0.3">
      <c r="A74" s="4"/>
      <c r="B74" s="4"/>
      <c r="C74" s="4" t="s">
        <v>62</v>
      </c>
      <c r="D74" s="4"/>
      <c r="E74" s="4"/>
      <c r="F74" s="4"/>
      <c r="G74" s="8">
        <v>10000</v>
      </c>
      <c r="H74" s="8"/>
      <c r="I74" s="8">
        <v>5000</v>
      </c>
      <c r="J74" s="8"/>
      <c r="K74" s="8">
        <f>ROUND((G74-I74),5)</f>
        <v>5000</v>
      </c>
      <c r="L74" s="9"/>
      <c r="M74" s="10">
        <f>ROUND(IF(G74=0, IF(I74=0, 0, SIGN(-I74)), IF(I74=0, SIGN(G74), (G74-I74)/ABS(I74))),5)</f>
        <v>1</v>
      </c>
      <c r="O74" s="8">
        <v>10000</v>
      </c>
    </row>
    <row r="75" spans="1:16" s="7" customFormat="1" ht="23.1" customHeight="1" x14ac:dyDescent="0.3">
      <c r="A75" s="4"/>
      <c r="B75" s="4"/>
      <c r="C75" s="4" t="s">
        <v>63</v>
      </c>
      <c r="D75" s="4"/>
      <c r="E75" s="4"/>
      <c r="F75" s="4"/>
      <c r="G75" s="8"/>
      <c r="H75" s="8"/>
      <c r="I75" s="8"/>
      <c r="J75" s="8"/>
      <c r="K75" s="8"/>
      <c r="L75" s="9"/>
      <c r="M75" s="10"/>
      <c r="O75" s="8"/>
    </row>
    <row r="76" spans="1:16" s="7" customFormat="1" ht="23.1" customHeight="1" x14ac:dyDescent="0.3">
      <c r="A76" s="4"/>
      <c r="B76" s="4"/>
      <c r="C76" s="4"/>
      <c r="D76" s="4" t="s">
        <v>64</v>
      </c>
      <c r="E76" s="4"/>
      <c r="F76" s="4"/>
      <c r="G76" s="8">
        <v>0</v>
      </c>
      <c r="H76" s="8"/>
      <c r="I76" s="8">
        <v>1782.04</v>
      </c>
      <c r="J76" s="8"/>
      <c r="K76" s="8">
        <f>ROUND((G76-I76),5)</f>
        <v>-1782.04</v>
      </c>
      <c r="L76" s="9"/>
      <c r="M76" s="10">
        <f t="shared" ref="M76:M82" si="6">ROUND(IF(G76=0, IF(I76=0, 0, SIGN(-I76)), IF(I76=0, SIGN(G76), (G76-I76)/ABS(I76))),5)</f>
        <v>-1</v>
      </c>
      <c r="O76" s="8">
        <v>2000</v>
      </c>
    </row>
    <row r="77" spans="1:16" s="7" customFormat="1" ht="23.1" customHeight="1" x14ac:dyDescent="0.3">
      <c r="A77" s="4"/>
      <c r="B77" s="4"/>
      <c r="C77" s="4"/>
      <c r="D77" s="4" t="s">
        <v>65</v>
      </c>
      <c r="E77" s="4"/>
      <c r="F77" s="4"/>
      <c r="G77" s="8">
        <v>0</v>
      </c>
      <c r="H77" s="8"/>
      <c r="I77" s="8">
        <v>3000</v>
      </c>
      <c r="J77" s="8"/>
      <c r="K77" s="8">
        <f t="shared" ref="K77:K82" si="7">ROUND((G77-I77),5)</f>
        <v>-3000</v>
      </c>
      <c r="L77" s="9"/>
      <c r="M77" s="10">
        <f t="shared" si="6"/>
        <v>-1</v>
      </c>
      <c r="O77" s="8">
        <v>3000</v>
      </c>
    </row>
    <row r="78" spans="1:16" s="7" customFormat="1" ht="23.1" customHeight="1" thickBot="1" x14ac:dyDescent="0.35">
      <c r="A78" s="4"/>
      <c r="B78" s="4"/>
      <c r="C78" s="4"/>
      <c r="D78" s="4" t="s">
        <v>66</v>
      </c>
      <c r="E78" s="4"/>
      <c r="F78" s="4"/>
      <c r="G78" s="11">
        <v>0</v>
      </c>
      <c r="H78" s="8"/>
      <c r="I78" s="11">
        <v>1752.94</v>
      </c>
      <c r="J78" s="8"/>
      <c r="K78" s="11">
        <f t="shared" si="7"/>
        <v>-1752.94</v>
      </c>
      <c r="L78" s="9"/>
      <c r="M78" s="12">
        <f t="shared" si="6"/>
        <v>-1</v>
      </c>
      <c r="O78" s="11">
        <v>1800</v>
      </c>
    </row>
    <row r="79" spans="1:16" s="7" customFormat="1" ht="23.1" customHeight="1" x14ac:dyDescent="0.3">
      <c r="A79" s="4"/>
      <c r="B79" s="4"/>
      <c r="C79" s="4" t="s">
        <v>67</v>
      </c>
      <c r="D79" s="4"/>
      <c r="E79" s="4"/>
      <c r="F79" s="4"/>
      <c r="G79" s="8">
        <f>ROUND(SUM(G75:G78),5)</f>
        <v>0</v>
      </c>
      <c r="H79" s="8"/>
      <c r="I79" s="8">
        <f>ROUND(SUM(I75:I78),5)</f>
        <v>6534.98</v>
      </c>
      <c r="J79" s="8"/>
      <c r="K79" s="8">
        <f t="shared" si="7"/>
        <v>-6534.98</v>
      </c>
      <c r="L79" s="9"/>
      <c r="M79" s="10">
        <f t="shared" si="6"/>
        <v>-1</v>
      </c>
      <c r="O79" s="8">
        <f>ROUND(SUM(O75:O78),5)</f>
        <v>6800</v>
      </c>
    </row>
    <row r="80" spans="1:16" s="7" customFormat="1" ht="23.1" customHeight="1" thickBot="1" x14ac:dyDescent="0.35">
      <c r="A80" s="4"/>
      <c r="B80" s="4"/>
      <c r="C80" s="4" t="s">
        <v>68</v>
      </c>
      <c r="D80" s="4"/>
      <c r="E80" s="4"/>
      <c r="F80" s="4"/>
      <c r="G80" s="13">
        <v>1300</v>
      </c>
      <c r="H80" s="8"/>
      <c r="I80" s="13">
        <v>1457.46</v>
      </c>
      <c r="J80" s="8"/>
      <c r="K80" s="13">
        <f t="shared" si="7"/>
        <v>-157.46</v>
      </c>
      <c r="L80" s="9"/>
      <c r="M80" s="14">
        <f t="shared" si="6"/>
        <v>-0.10804</v>
      </c>
      <c r="O80" s="13">
        <v>5000</v>
      </c>
    </row>
    <row r="81" spans="1:15" s="7" customFormat="1" ht="23.1" customHeight="1" thickBot="1" x14ac:dyDescent="0.35">
      <c r="A81" s="4"/>
      <c r="B81" s="4" t="s">
        <v>69</v>
      </c>
      <c r="C81" s="4"/>
      <c r="D81" s="4"/>
      <c r="E81" s="4"/>
      <c r="F81" s="4"/>
      <c r="G81" s="17">
        <f>ROUND(SUM(G64:G69)+SUM(G73:G74)+SUM(G79:G80),5)</f>
        <v>34312.79</v>
      </c>
      <c r="H81" s="8"/>
      <c r="I81" s="17">
        <f>ROUND(SUM(I64:I69)+SUM(I73:I74)+SUM(I79:I80),5)</f>
        <v>56943.94</v>
      </c>
      <c r="J81" s="8"/>
      <c r="K81" s="17">
        <f t="shared" si="7"/>
        <v>-22631.15</v>
      </c>
      <c r="L81" s="9"/>
      <c r="M81" s="18">
        <f t="shared" si="6"/>
        <v>-0.39743000000000001</v>
      </c>
      <c r="O81" s="17">
        <f>ROUND(SUM(O64:O69)+SUM(O73:O74)+SUM(O79:O80),5)</f>
        <v>90850</v>
      </c>
    </row>
    <row r="82" spans="1:15" s="22" customFormat="1" ht="23.1" customHeight="1" thickBot="1" x14ac:dyDescent="0.35">
      <c r="A82" s="4" t="s">
        <v>70</v>
      </c>
      <c r="B82" s="4"/>
      <c r="C82" s="4"/>
      <c r="D82" s="4"/>
      <c r="E82" s="4"/>
      <c r="F82" s="4"/>
      <c r="G82" s="19">
        <f>ROUND(G63-G81,5)</f>
        <v>28248.240000000002</v>
      </c>
      <c r="H82" s="20"/>
      <c r="I82" s="19">
        <f>ROUND(I63-I81,5)</f>
        <v>10883.72</v>
      </c>
      <c r="J82" s="20"/>
      <c r="K82" s="19">
        <f t="shared" si="7"/>
        <v>17364.52</v>
      </c>
      <c r="L82" s="4"/>
      <c r="M82" s="21">
        <f t="shared" si="6"/>
        <v>1.5954600000000001</v>
      </c>
      <c r="O82" s="19">
        <f>ROUND(O63-O81,5)</f>
        <v>-29900</v>
      </c>
    </row>
    <row r="83" spans="1:15" s="7" customFormat="1" ht="19.5" thickTop="1" x14ac:dyDescent="0.3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5"/>
      <c r="M83" s="25"/>
      <c r="O83" s="25"/>
    </row>
    <row r="84" spans="1:15" s="7" customFormat="1" ht="18.75" x14ac:dyDescent="0.3">
      <c r="A84" s="23"/>
      <c r="B84" s="23"/>
      <c r="C84" s="23"/>
      <c r="D84" s="23"/>
      <c r="E84" s="23"/>
      <c r="F84" s="23"/>
      <c r="G84" s="25"/>
      <c r="H84" s="25"/>
      <c r="I84" s="25"/>
      <c r="J84" s="25"/>
      <c r="K84" s="28" t="s">
        <v>93</v>
      </c>
      <c r="L84" s="28"/>
      <c r="M84" s="28"/>
      <c r="N84" s="29"/>
      <c r="O84" s="30"/>
    </row>
    <row r="85" spans="1:15" s="7" customFormat="1" ht="18.75" x14ac:dyDescent="0.3">
      <c r="A85" s="23"/>
      <c r="B85" s="23"/>
      <c r="C85" s="23"/>
      <c r="D85" s="23"/>
      <c r="E85" s="23"/>
      <c r="F85" s="23"/>
      <c r="G85" s="25"/>
      <c r="H85" s="25"/>
      <c r="I85" s="25"/>
      <c r="J85" s="25"/>
      <c r="K85" s="25" t="s">
        <v>94</v>
      </c>
      <c r="L85" s="25"/>
      <c r="M85" s="25"/>
      <c r="N85" s="27"/>
      <c r="O85" s="24">
        <v>62333.120000000003</v>
      </c>
    </row>
    <row r="86" spans="1:15" s="7" customFormat="1" ht="18.75" x14ac:dyDescent="0.3">
      <c r="A86" s="23"/>
      <c r="B86" s="23"/>
      <c r="C86" s="23"/>
      <c r="D86" s="23"/>
      <c r="E86" s="23"/>
      <c r="F86" s="23"/>
      <c r="G86" s="25"/>
      <c r="H86" s="25"/>
      <c r="I86" s="25"/>
      <c r="J86" s="25"/>
      <c r="K86" s="25" t="s">
        <v>95</v>
      </c>
      <c r="L86" s="25"/>
      <c r="M86" s="25"/>
      <c r="O86" s="24">
        <f>G82</f>
        <v>28248.240000000002</v>
      </c>
    </row>
    <row r="87" spans="1:15" ht="18.75" x14ac:dyDescent="0.3">
      <c r="K87" s="27" t="s">
        <v>106</v>
      </c>
      <c r="L87" s="25"/>
      <c r="M87" s="25"/>
      <c r="N87" s="7"/>
      <c r="O87" s="24">
        <v>90581.36</v>
      </c>
    </row>
    <row r="88" spans="1:15" x14ac:dyDescent="0.25">
      <c r="O88" s="31">
        <f>O85+O86-O87</f>
        <v>0</v>
      </c>
    </row>
  </sheetData>
  <mergeCells count="1">
    <mergeCell ref="P58:P62"/>
  </mergeCells>
  <printOptions horizontalCentered="1"/>
  <pageMargins left="0.25" right="0.25" top="0.75" bottom="0.75" header="0.3" footer="0.3"/>
  <pageSetup scale="48" orientation="landscape" r:id="rId1"/>
  <headerFooter>
    <oddHeader>&amp;L&amp;"Times New Roman,Bold"&amp;14TREASURER REPORT&amp;C&amp;"Times New Roman,Bold"&amp;14 Tiger PAWS of Wheaton Warrenville South
 Profit &amp;&amp; Loss Prev Year Comparison
 July 2017 through June 2018</oddHeader>
    <oddFooter>&amp;R&amp;"Times New Roman,Bold"&amp;14&amp;D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">
    <pageSetUpPr fitToPage="1"/>
  </sheetPr>
  <dimension ref="A1:P88"/>
  <sheetViews>
    <sheetView topLeftCell="A62" workbookViewId="0"/>
  </sheetViews>
  <sheetFormatPr defaultColWidth="8.85546875" defaultRowHeight="15.75" x14ac:dyDescent="0.25"/>
  <cols>
    <col min="1" max="5" width="3" style="2" customWidth="1"/>
    <col min="6" max="6" width="49.42578125" style="2" customWidth="1"/>
    <col min="7" max="7" width="12.5703125" style="3" customWidth="1"/>
    <col min="8" max="8" width="2.42578125" style="3" customWidth="1"/>
    <col min="9" max="9" width="12.42578125" style="3" customWidth="1"/>
    <col min="10" max="10" width="2.42578125" style="3" customWidth="1"/>
    <col min="11" max="11" width="12.85546875" style="3" customWidth="1"/>
    <col min="12" max="12" width="2.42578125" style="3" customWidth="1"/>
    <col min="13" max="13" width="12.85546875" style="3" hidden="1" customWidth="1"/>
    <col min="14" max="14" width="4.85546875" style="1" customWidth="1"/>
    <col min="15" max="15" width="19.42578125" style="3" customWidth="1"/>
    <col min="16" max="16" width="79.140625" style="1" bestFit="1" customWidth="1"/>
    <col min="17" max="16384" width="8.85546875" style="1"/>
  </cols>
  <sheetData>
    <row r="1" spans="1:16" s="7" customFormat="1" ht="19.5" thickBot="1" x14ac:dyDescent="0.35">
      <c r="A1" s="4"/>
      <c r="B1" s="4"/>
      <c r="C1" s="4"/>
      <c r="D1" s="4"/>
      <c r="E1" s="4"/>
      <c r="F1" s="4"/>
      <c r="G1" s="5"/>
      <c r="H1" s="6"/>
      <c r="I1" s="5"/>
      <c r="J1" s="6"/>
      <c r="K1" s="5"/>
      <c r="L1" s="6"/>
      <c r="M1" s="5"/>
      <c r="O1" s="5"/>
    </row>
    <row r="2" spans="1:16" s="35" customFormat="1" ht="45.6" customHeight="1" thickTop="1" thickBot="1" x14ac:dyDescent="0.3">
      <c r="A2" s="32"/>
      <c r="B2" s="32"/>
      <c r="C2" s="32"/>
      <c r="D2" s="32"/>
      <c r="E2" s="32"/>
      <c r="F2" s="32"/>
      <c r="G2" s="33" t="s">
        <v>0</v>
      </c>
      <c r="H2" s="34"/>
      <c r="I2" s="33" t="s">
        <v>1</v>
      </c>
      <c r="J2" s="34"/>
      <c r="K2" s="33" t="s">
        <v>2</v>
      </c>
      <c r="L2" s="34"/>
      <c r="M2" s="33" t="s">
        <v>3</v>
      </c>
      <c r="O2" s="33" t="s">
        <v>72</v>
      </c>
      <c r="P2" s="36" t="s">
        <v>73</v>
      </c>
    </row>
    <row r="3" spans="1:16" s="7" customFormat="1" ht="19.5" thickTop="1" x14ac:dyDescent="0.3">
      <c r="A3" s="4"/>
      <c r="B3" s="4" t="s">
        <v>4</v>
      </c>
      <c r="C3" s="4"/>
      <c r="D3" s="4"/>
      <c r="E3" s="4"/>
      <c r="F3" s="4"/>
      <c r="G3" s="8"/>
      <c r="H3" s="8"/>
      <c r="I3" s="8"/>
      <c r="J3" s="8"/>
      <c r="K3" s="8"/>
      <c r="L3" s="9"/>
      <c r="M3" s="10"/>
      <c r="O3" s="8"/>
    </row>
    <row r="4" spans="1:16" s="7" customFormat="1" ht="18.75" hidden="1" x14ac:dyDescent="0.3">
      <c r="A4" s="4"/>
      <c r="B4" s="4"/>
      <c r="C4" s="4" t="s">
        <v>5</v>
      </c>
      <c r="D4" s="4"/>
      <c r="E4" s="4"/>
      <c r="F4" s="4"/>
      <c r="G4" s="8"/>
      <c r="H4" s="8"/>
      <c r="I4" s="8"/>
      <c r="J4" s="8"/>
      <c r="K4" s="8"/>
      <c r="L4" s="9"/>
      <c r="M4" s="10"/>
      <c r="O4" s="8"/>
    </row>
    <row r="5" spans="1:16" s="7" customFormat="1" ht="18.75" hidden="1" x14ac:dyDescent="0.3">
      <c r="A5" s="4"/>
      <c r="B5" s="4"/>
      <c r="C5" s="4"/>
      <c r="D5" s="4" t="s">
        <v>6</v>
      </c>
      <c r="E5" s="4"/>
      <c r="F5" s="4"/>
      <c r="G5" s="8">
        <v>-1020.79</v>
      </c>
      <c r="H5" s="8"/>
      <c r="I5" s="8">
        <v>-1034.24</v>
      </c>
      <c r="J5" s="8"/>
      <c r="K5" s="8">
        <f t="shared" ref="K5:K10" si="0">ROUND((G5-I5),5)</f>
        <v>13.45</v>
      </c>
      <c r="L5" s="9"/>
      <c r="M5" s="10">
        <f t="shared" ref="M5:M10" si="1">ROUND(IF(G5=0, IF(I5=0, 0, SIGN(-I5)), IF(I5=0, SIGN(G5), (G5-I5)/ABS(I5))),5)</f>
        <v>1.2999999999999999E-2</v>
      </c>
      <c r="O5" s="8"/>
    </row>
    <row r="6" spans="1:16" s="7" customFormat="1" ht="19.5" hidden="1" thickBot="1" x14ac:dyDescent="0.35">
      <c r="A6" s="4"/>
      <c r="B6" s="4"/>
      <c r="C6" s="4"/>
      <c r="D6" s="4" t="s">
        <v>4</v>
      </c>
      <c r="E6" s="4"/>
      <c r="F6" s="4"/>
      <c r="G6" s="11">
        <f>10000+600</f>
        <v>10600</v>
      </c>
      <c r="H6" s="8"/>
      <c r="I6" s="11">
        <v>7823</v>
      </c>
      <c r="J6" s="8"/>
      <c r="K6" s="11">
        <f t="shared" si="0"/>
        <v>2777</v>
      </c>
      <c r="L6" s="9"/>
      <c r="M6" s="12">
        <f t="shared" si="1"/>
        <v>0.35498000000000002</v>
      </c>
      <c r="O6" s="11"/>
    </row>
    <row r="7" spans="1:16" s="7" customFormat="1" ht="23.1" customHeight="1" x14ac:dyDescent="0.3">
      <c r="A7" s="4"/>
      <c r="B7" s="4"/>
      <c r="C7" s="4" t="s">
        <v>7</v>
      </c>
      <c r="D7" s="4"/>
      <c r="E7" s="4"/>
      <c r="F7" s="4"/>
      <c r="G7" s="8">
        <f>ROUND(SUM(G4:G6),5)</f>
        <v>9579.2099999999991</v>
      </c>
      <c r="H7" s="8"/>
      <c r="I7" s="8">
        <f>ROUND(SUM(I4:I6),5)</f>
        <v>6788.76</v>
      </c>
      <c r="J7" s="8"/>
      <c r="K7" s="8">
        <f t="shared" si="0"/>
        <v>2790.45</v>
      </c>
      <c r="L7" s="9"/>
      <c r="M7" s="10">
        <f t="shared" si="1"/>
        <v>0.41104000000000002</v>
      </c>
      <c r="O7" s="8">
        <v>10000</v>
      </c>
    </row>
    <row r="8" spans="1:16" s="7" customFormat="1" ht="23.1" customHeight="1" x14ac:dyDescent="0.3">
      <c r="A8" s="4"/>
      <c r="B8" s="4"/>
      <c r="C8" s="4" t="s">
        <v>8</v>
      </c>
      <c r="D8" s="4"/>
      <c r="E8" s="4"/>
      <c r="F8" s="4"/>
      <c r="G8" s="8">
        <v>0</v>
      </c>
      <c r="H8" s="8"/>
      <c r="I8" s="8">
        <v>3508.57</v>
      </c>
      <c r="J8" s="8"/>
      <c r="K8" s="8">
        <f t="shared" si="0"/>
        <v>-3508.57</v>
      </c>
      <c r="L8" s="9"/>
      <c r="M8" s="10">
        <f t="shared" si="1"/>
        <v>-1</v>
      </c>
      <c r="O8" s="8">
        <v>0</v>
      </c>
    </row>
    <row r="9" spans="1:16" s="7" customFormat="1" ht="23.1" customHeight="1" x14ac:dyDescent="0.3">
      <c r="A9" s="4"/>
      <c r="B9" s="4"/>
      <c r="C9" s="4" t="s">
        <v>9</v>
      </c>
      <c r="D9" s="4"/>
      <c r="E9" s="4"/>
      <c r="F9" s="4"/>
      <c r="G9" s="8">
        <v>0</v>
      </c>
      <c r="H9" s="8"/>
      <c r="I9" s="8">
        <v>8260.84</v>
      </c>
      <c r="J9" s="8"/>
      <c r="K9" s="8">
        <f t="shared" si="0"/>
        <v>-8260.84</v>
      </c>
      <c r="L9" s="9"/>
      <c r="M9" s="10">
        <f t="shared" si="1"/>
        <v>-1</v>
      </c>
      <c r="O9" s="8">
        <v>10000</v>
      </c>
      <c r="P9" s="7" t="s">
        <v>75</v>
      </c>
    </row>
    <row r="10" spans="1:16" s="7" customFormat="1" ht="23.1" customHeight="1" x14ac:dyDescent="0.3">
      <c r="A10" s="4"/>
      <c r="B10" s="4"/>
      <c r="C10" s="4" t="s">
        <v>10</v>
      </c>
      <c r="D10" s="4"/>
      <c r="E10" s="4"/>
      <c r="F10" s="4"/>
      <c r="G10" s="8">
        <v>14.75</v>
      </c>
      <c r="H10" s="8"/>
      <c r="I10" s="8">
        <v>29.02</v>
      </c>
      <c r="J10" s="8"/>
      <c r="K10" s="8">
        <f t="shared" si="0"/>
        <v>-14.27</v>
      </c>
      <c r="L10" s="9"/>
      <c r="M10" s="10">
        <f t="shared" si="1"/>
        <v>-0.49173</v>
      </c>
      <c r="O10" s="8"/>
    </row>
    <row r="11" spans="1:16" s="7" customFormat="1" ht="23.1" hidden="1" customHeight="1" x14ac:dyDescent="0.3">
      <c r="A11" s="4"/>
      <c r="B11" s="4"/>
      <c r="C11" s="4" t="s">
        <v>11</v>
      </c>
      <c r="D11" s="4"/>
      <c r="E11" s="4"/>
      <c r="F11" s="4"/>
      <c r="G11" s="8"/>
      <c r="H11" s="8"/>
      <c r="I11" s="8"/>
      <c r="J11" s="8"/>
      <c r="K11" s="8"/>
      <c r="L11" s="9"/>
      <c r="M11" s="10"/>
      <c r="O11" s="8"/>
    </row>
    <row r="12" spans="1:16" s="7" customFormat="1" ht="23.1" hidden="1" customHeight="1" x14ac:dyDescent="0.3">
      <c r="A12" s="4"/>
      <c r="B12" s="4"/>
      <c r="C12" s="4"/>
      <c r="D12" s="4" t="s">
        <v>6</v>
      </c>
      <c r="E12" s="4"/>
      <c r="F12" s="4"/>
      <c r="G12" s="8">
        <v>0</v>
      </c>
      <c r="H12" s="8"/>
      <c r="I12" s="8">
        <v>-485.32</v>
      </c>
      <c r="J12" s="8"/>
      <c r="K12" s="8">
        <f t="shared" ref="K12:K18" si="2">ROUND((G12-I12),5)</f>
        <v>485.32</v>
      </c>
      <c r="L12" s="9"/>
      <c r="M12" s="10">
        <f t="shared" ref="M12:M18" si="3">ROUND(IF(G12=0, IF(I12=0, 0, SIGN(-I12)), IF(I12=0, SIGN(G12), (G12-I12)/ABS(I12))),5)</f>
        <v>1</v>
      </c>
      <c r="O12" s="8">
        <v>0</v>
      </c>
    </row>
    <row r="13" spans="1:16" s="7" customFormat="1" ht="23.1" hidden="1" customHeight="1" x14ac:dyDescent="0.3">
      <c r="A13" s="4"/>
      <c r="B13" s="4"/>
      <c r="C13" s="4"/>
      <c r="D13" s="4" t="s">
        <v>4</v>
      </c>
      <c r="E13" s="4"/>
      <c r="F13" s="4"/>
      <c r="G13" s="8">
        <v>16522.12</v>
      </c>
      <c r="H13" s="8"/>
      <c r="I13" s="8">
        <v>29767.93</v>
      </c>
      <c r="J13" s="8"/>
      <c r="K13" s="8">
        <f t="shared" si="2"/>
        <v>-13245.81</v>
      </c>
      <c r="L13" s="9"/>
      <c r="M13" s="10">
        <f t="shared" si="3"/>
        <v>-0.44496999999999998</v>
      </c>
      <c r="O13" s="8">
        <v>15000</v>
      </c>
    </row>
    <row r="14" spans="1:16" s="7" customFormat="1" ht="23.1" hidden="1" customHeight="1" x14ac:dyDescent="0.3">
      <c r="A14" s="4"/>
      <c r="B14" s="4"/>
      <c r="C14" s="4"/>
      <c r="D14" s="4" t="s">
        <v>12</v>
      </c>
      <c r="E14" s="4"/>
      <c r="F14" s="4"/>
      <c r="G14" s="8">
        <v>0</v>
      </c>
      <c r="H14" s="8"/>
      <c r="I14" s="8">
        <v>-10441.51</v>
      </c>
      <c r="J14" s="8"/>
      <c r="K14" s="8">
        <f t="shared" si="2"/>
        <v>10441.51</v>
      </c>
      <c r="L14" s="9"/>
      <c r="M14" s="10">
        <f t="shared" si="3"/>
        <v>1</v>
      </c>
      <c r="O14" s="8">
        <v>0</v>
      </c>
    </row>
    <row r="15" spans="1:16" s="7" customFormat="1" ht="23.1" hidden="1" customHeight="1" thickBot="1" x14ac:dyDescent="0.35">
      <c r="A15" s="4"/>
      <c r="B15" s="4"/>
      <c r="C15" s="4"/>
      <c r="D15" s="4" t="s">
        <v>13</v>
      </c>
      <c r="E15" s="4"/>
      <c r="F15" s="4"/>
      <c r="G15" s="11">
        <v>10870</v>
      </c>
      <c r="H15" s="8"/>
      <c r="I15" s="11">
        <v>0</v>
      </c>
      <c r="J15" s="8"/>
      <c r="K15" s="11">
        <f t="shared" si="2"/>
        <v>10870</v>
      </c>
      <c r="L15" s="9"/>
      <c r="M15" s="12">
        <f t="shared" si="3"/>
        <v>1</v>
      </c>
      <c r="O15" s="11">
        <v>0</v>
      </c>
    </row>
    <row r="16" spans="1:16" s="7" customFormat="1" ht="23.1" customHeight="1" x14ac:dyDescent="0.3">
      <c r="A16" s="4"/>
      <c r="B16" s="4"/>
      <c r="C16" s="4" t="s">
        <v>14</v>
      </c>
      <c r="D16" s="4"/>
      <c r="E16" s="4"/>
      <c r="F16" s="4"/>
      <c r="G16" s="8">
        <f>ROUND(SUM(G11:G15),5)</f>
        <v>27392.12</v>
      </c>
      <c r="H16" s="8"/>
      <c r="I16" s="8">
        <f>ROUND(SUM(I11:I15),5)</f>
        <v>18841.099999999999</v>
      </c>
      <c r="J16" s="8"/>
      <c r="K16" s="8">
        <f t="shared" si="2"/>
        <v>8551.02</v>
      </c>
      <c r="L16" s="9"/>
      <c r="M16" s="10">
        <f t="shared" si="3"/>
        <v>0.45384999999999998</v>
      </c>
      <c r="O16" s="8">
        <f>ROUND(SUM(O11:O15),5)</f>
        <v>15000</v>
      </c>
      <c r="P16" s="7" t="s">
        <v>99</v>
      </c>
    </row>
    <row r="17" spans="1:16" s="7" customFormat="1" ht="23.1" customHeight="1" x14ac:dyDescent="0.3">
      <c r="A17" s="4"/>
      <c r="B17" s="4"/>
      <c r="C17" s="4" t="s">
        <v>15</v>
      </c>
      <c r="D17" s="4"/>
      <c r="E17" s="4"/>
      <c r="F17" s="4"/>
      <c r="G17" s="8">
        <v>3051.25</v>
      </c>
      <c r="H17" s="8"/>
      <c r="I17" s="8">
        <v>1250</v>
      </c>
      <c r="J17" s="8"/>
      <c r="K17" s="8">
        <f t="shared" si="2"/>
        <v>1801.25</v>
      </c>
      <c r="L17" s="9"/>
      <c r="M17" s="10">
        <f t="shared" si="3"/>
        <v>1.4410000000000001</v>
      </c>
      <c r="O17" s="8"/>
      <c r="P17" s="7" t="s">
        <v>77</v>
      </c>
    </row>
    <row r="18" spans="1:16" s="7" customFormat="1" ht="23.1" customHeight="1" x14ac:dyDescent="0.3">
      <c r="A18" s="4"/>
      <c r="B18" s="4"/>
      <c r="C18" s="4" t="s">
        <v>16</v>
      </c>
      <c r="D18" s="4"/>
      <c r="E18" s="4"/>
      <c r="F18" s="4"/>
      <c r="G18" s="8">
        <v>500</v>
      </c>
      <c r="H18" s="8"/>
      <c r="I18" s="8">
        <v>250</v>
      </c>
      <c r="J18" s="8"/>
      <c r="K18" s="8">
        <f t="shared" si="2"/>
        <v>250</v>
      </c>
      <c r="L18" s="9"/>
      <c r="M18" s="10">
        <f t="shared" si="3"/>
        <v>1</v>
      </c>
      <c r="O18" s="8"/>
      <c r="P18" s="7" t="s">
        <v>78</v>
      </c>
    </row>
    <row r="19" spans="1:16" s="7" customFormat="1" ht="23.1" hidden="1" customHeight="1" x14ac:dyDescent="0.3">
      <c r="A19" s="4"/>
      <c r="B19" s="4"/>
      <c r="C19" s="4" t="s">
        <v>17</v>
      </c>
      <c r="D19" s="4"/>
      <c r="E19" s="4"/>
      <c r="F19" s="4"/>
      <c r="G19" s="8"/>
      <c r="H19" s="8"/>
      <c r="I19" s="8"/>
      <c r="J19" s="8"/>
      <c r="K19" s="8"/>
      <c r="L19" s="9"/>
      <c r="M19" s="10"/>
      <c r="O19" s="8"/>
    </row>
    <row r="20" spans="1:16" s="7" customFormat="1" ht="23.1" hidden="1" customHeight="1" x14ac:dyDescent="0.3">
      <c r="A20" s="4"/>
      <c r="B20" s="4"/>
      <c r="C20" s="4"/>
      <c r="D20" s="4" t="s">
        <v>18</v>
      </c>
      <c r="E20" s="4"/>
      <c r="F20" s="4"/>
      <c r="G20" s="8">
        <v>-418</v>
      </c>
      <c r="H20" s="8"/>
      <c r="I20" s="8">
        <v>-1995.69</v>
      </c>
      <c r="J20" s="8"/>
      <c r="K20" s="8">
        <f>ROUND((G20-I20),5)</f>
        <v>1577.69</v>
      </c>
      <c r="L20" s="9"/>
      <c r="M20" s="10">
        <f>ROUND(IF(G20=0, IF(I20=0, 0, SIGN(-I20)), IF(I20=0, SIGN(G20), (G20-I20)/ABS(I20))),5)</f>
        <v>0.79054999999999997</v>
      </c>
      <c r="O20" s="8">
        <v>15000</v>
      </c>
      <c r="P20" s="7" t="s">
        <v>79</v>
      </c>
    </row>
    <row r="21" spans="1:16" s="7" customFormat="1" ht="23.1" hidden="1" customHeight="1" x14ac:dyDescent="0.3">
      <c r="A21" s="4"/>
      <c r="B21" s="4"/>
      <c r="C21" s="4"/>
      <c r="D21" s="4" t="s">
        <v>19</v>
      </c>
      <c r="E21" s="4"/>
      <c r="F21" s="4"/>
      <c r="G21" s="8"/>
      <c r="H21" s="8"/>
      <c r="I21" s="8"/>
      <c r="J21" s="8"/>
      <c r="K21" s="8"/>
      <c r="L21" s="9"/>
      <c r="M21" s="10"/>
      <c r="O21" s="8"/>
    </row>
    <row r="22" spans="1:16" s="7" customFormat="1" ht="23.1" hidden="1" customHeight="1" x14ac:dyDescent="0.3">
      <c r="A22" s="4"/>
      <c r="B22" s="4"/>
      <c r="C22" s="4"/>
      <c r="D22" s="4"/>
      <c r="E22" s="4" t="s">
        <v>20</v>
      </c>
      <c r="F22" s="4"/>
      <c r="G22" s="8"/>
      <c r="H22" s="8"/>
      <c r="I22" s="8"/>
      <c r="J22" s="8"/>
      <c r="K22" s="8"/>
      <c r="L22" s="9"/>
      <c r="M22" s="10"/>
      <c r="O22" s="8"/>
    </row>
    <row r="23" spans="1:16" s="7" customFormat="1" ht="23.1" hidden="1" customHeight="1" x14ac:dyDescent="0.3">
      <c r="A23" s="4"/>
      <c r="B23" s="4"/>
      <c r="C23" s="4"/>
      <c r="D23" s="4"/>
      <c r="E23" s="4"/>
      <c r="F23" s="4" t="s">
        <v>21</v>
      </c>
      <c r="G23" s="8">
        <v>-12366.43</v>
      </c>
      <c r="H23" s="8"/>
      <c r="I23" s="8">
        <v>-11131.87</v>
      </c>
      <c r="J23" s="8"/>
      <c r="K23" s="8">
        <f>ROUND((G23-I23),5)</f>
        <v>-1234.56</v>
      </c>
      <c r="L23" s="9"/>
      <c r="M23" s="10">
        <f>ROUND(IF(G23=0, IF(I23=0, 0, SIGN(-I23)), IF(I23=0, SIGN(G23), (G23-I23)/ABS(I23))),5)</f>
        <v>-0.1109</v>
      </c>
      <c r="O23" s="8"/>
    </row>
    <row r="24" spans="1:16" s="7" customFormat="1" ht="23.1" hidden="1" customHeight="1" thickBot="1" x14ac:dyDescent="0.35">
      <c r="A24" s="4"/>
      <c r="B24" s="4"/>
      <c r="C24" s="4"/>
      <c r="D24" s="4"/>
      <c r="E24" s="4"/>
      <c r="F24" s="4" t="s">
        <v>22</v>
      </c>
      <c r="G24" s="11">
        <v>25682.86</v>
      </c>
      <c r="H24" s="8"/>
      <c r="I24" s="11">
        <v>23556.31</v>
      </c>
      <c r="J24" s="8"/>
      <c r="K24" s="11">
        <f>ROUND((G24-I24),5)</f>
        <v>2126.5500000000002</v>
      </c>
      <c r="L24" s="9"/>
      <c r="M24" s="12">
        <f>ROUND(IF(G24=0, IF(I24=0, 0, SIGN(-I24)), IF(I24=0, SIGN(G24), (G24-I24)/ABS(I24))),5)</f>
        <v>9.0279999999999999E-2</v>
      </c>
      <c r="O24" s="11"/>
    </row>
    <row r="25" spans="1:16" s="7" customFormat="1" ht="23.1" hidden="1" customHeight="1" x14ac:dyDescent="0.3">
      <c r="A25" s="4"/>
      <c r="B25" s="4"/>
      <c r="C25" s="4"/>
      <c r="D25" s="4"/>
      <c r="E25" s="4" t="s">
        <v>23</v>
      </c>
      <c r="F25" s="4"/>
      <c r="G25" s="8">
        <f>ROUND(SUM(G22:G24),5)</f>
        <v>13316.43</v>
      </c>
      <c r="H25" s="8"/>
      <c r="I25" s="8">
        <f>ROUND(SUM(I22:I24),5)</f>
        <v>12424.44</v>
      </c>
      <c r="J25" s="8"/>
      <c r="K25" s="8">
        <f>ROUND((G25-I25),5)</f>
        <v>891.99</v>
      </c>
      <c r="L25" s="9"/>
      <c r="M25" s="10">
        <f>ROUND(IF(G25=0, IF(I25=0, 0, SIGN(-I25)), IF(I25=0, SIGN(G25), (G25-I25)/ABS(I25))),5)</f>
        <v>7.1790000000000007E-2</v>
      </c>
      <c r="O25" s="8">
        <f>ROUND(SUM(O22:O24),5)</f>
        <v>0</v>
      </c>
    </row>
    <row r="26" spans="1:16" s="7" customFormat="1" ht="23.1" hidden="1" customHeight="1" x14ac:dyDescent="0.3">
      <c r="A26" s="4"/>
      <c r="B26" s="4"/>
      <c r="C26" s="4"/>
      <c r="D26" s="4"/>
      <c r="E26" s="4" t="s">
        <v>24</v>
      </c>
      <c r="F26" s="4"/>
      <c r="G26" s="8"/>
      <c r="H26" s="8"/>
      <c r="I26" s="8"/>
      <c r="J26" s="8"/>
      <c r="K26" s="8"/>
      <c r="L26" s="9"/>
      <c r="M26" s="10"/>
      <c r="O26" s="8"/>
    </row>
    <row r="27" spans="1:16" s="7" customFormat="1" ht="23.1" hidden="1" customHeight="1" x14ac:dyDescent="0.3">
      <c r="A27" s="4"/>
      <c r="B27" s="4"/>
      <c r="C27" s="4"/>
      <c r="D27" s="4"/>
      <c r="E27" s="4"/>
      <c r="F27" s="4" t="s">
        <v>25</v>
      </c>
      <c r="G27" s="8">
        <v>0</v>
      </c>
      <c r="H27" s="8"/>
      <c r="I27" s="8">
        <v>-337.57</v>
      </c>
      <c r="J27" s="8"/>
      <c r="K27" s="8">
        <f>ROUND((G27-I27),5)</f>
        <v>337.57</v>
      </c>
      <c r="L27" s="9"/>
      <c r="M27" s="10">
        <f>ROUND(IF(G27=0, IF(I27=0, 0, SIGN(-I27)), IF(I27=0, SIGN(G27), (G27-I27)/ABS(I27))),5)</f>
        <v>1</v>
      </c>
      <c r="O27" s="8">
        <v>0</v>
      </c>
    </row>
    <row r="28" spans="1:16" s="7" customFormat="1" ht="23.1" hidden="1" customHeight="1" thickBot="1" x14ac:dyDescent="0.35">
      <c r="A28" s="4"/>
      <c r="B28" s="4"/>
      <c r="C28" s="4"/>
      <c r="D28" s="4"/>
      <c r="E28" s="4"/>
      <c r="F28" s="4" t="s">
        <v>26</v>
      </c>
      <c r="G28" s="11">
        <v>788.5</v>
      </c>
      <c r="H28" s="8"/>
      <c r="I28" s="11">
        <v>1102.57</v>
      </c>
      <c r="J28" s="8"/>
      <c r="K28" s="11">
        <f>ROUND((G28-I28),5)</f>
        <v>-314.07</v>
      </c>
      <c r="L28" s="9"/>
      <c r="M28" s="12">
        <f>ROUND(IF(G28=0, IF(I28=0, 0, SIGN(-I28)), IF(I28=0, SIGN(G28), (G28-I28)/ABS(I28))),5)</f>
        <v>-0.28484999999999999</v>
      </c>
      <c r="O28" s="11"/>
    </row>
    <row r="29" spans="1:16" s="7" customFormat="1" ht="23.1" hidden="1" customHeight="1" x14ac:dyDescent="0.3">
      <c r="A29" s="4"/>
      <c r="B29" s="4"/>
      <c r="C29" s="4"/>
      <c r="D29" s="4"/>
      <c r="E29" s="4" t="s">
        <v>27</v>
      </c>
      <c r="F29" s="4"/>
      <c r="G29" s="8">
        <f>ROUND(SUM(G26:G28),5)</f>
        <v>788.5</v>
      </c>
      <c r="H29" s="8"/>
      <c r="I29" s="8">
        <f>ROUND(SUM(I26:I28),5)</f>
        <v>765</v>
      </c>
      <c r="J29" s="8"/>
      <c r="K29" s="8">
        <f>ROUND((G29-I29),5)</f>
        <v>23.5</v>
      </c>
      <c r="L29" s="9"/>
      <c r="M29" s="10">
        <f>ROUND(IF(G29=0, IF(I29=0, 0, SIGN(-I29)), IF(I29=0, SIGN(G29), (G29-I29)/ABS(I29))),5)</f>
        <v>3.0720000000000001E-2</v>
      </c>
      <c r="O29" s="8">
        <f>ROUND(SUM(O26:O28),5)</f>
        <v>0</v>
      </c>
    </row>
    <row r="30" spans="1:16" s="7" customFormat="1" ht="23.1" hidden="1" customHeight="1" thickBot="1" x14ac:dyDescent="0.35">
      <c r="A30" s="4"/>
      <c r="B30" s="4"/>
      <c r="C30" s="4"/>
      <c r="D30" s="4"/>
      <c r="E30" s="4" t="s">
        <v>28</v>
      </c>
      <c r="F30" s="4"/>
      <c r="G30" s="11">
        <f>22.51+474</f>
        <v>496.51</v>
      </c>
      <c r="H30" s="8"/>
      <c r="I30" s="11">
        <v>0</v>
      </c>
      <c r="J30" s="8"/>
      <c r="K30" s="11">
        <f>ROUND((G30-I30),5)</f>
        <v>496.51</v>
      </c>
      <c r="L30" s="9"/>
      <c r="M30" s="12">
        <f>ROUND(IF(G30=0, IF(I30=0, 0, SIGN(-I30)), IF(I30=0, SIGN(G30), (G30-I30)/ABS(I30))),5)</f>
        <v>1</v>
      </c>
      <c r="O30" s="11"/>
      <c r="P30" s="7" t="s">
        <v>89</v>
      </c>
    </row>
    <row r="31" spans="1:16" s="7" customFormat="1" ht="23.1" hidden="1" customHeight="1" thickBot="1" x14ac:dyDescent="0.35">
      <c r="A31" s="4"/>
      <c r="B31" s="4"/>
      <c r="C31" s="4"/>
      <c r="D31" s="4" t="s">
        <v>29</v>
      </c>
      <c r="E31" s="4"/>
      <c r="F31" s="4"/>
      <c r="G31" s="8">
        <f>ROUND(G21+G25+SUM(G29:G30),5)</f>
        <v>14601.44</v>
      </c>
      <c r="H31" s="8"/>
      <c r="I31" s="8">
        <f>ROUND(I21+I25+SUM(I29:I30),5)</f>
        <v>13189.44</v>
      </c>
      <c r="J31" s="8"/>
      <c r="K31" s="8">
        <f>ROUND((G31-I31),5)</f>
        <v>1412</v>
      </c>
      <c r="L31" s="9"/>
      <c r="M31" s="10">
        <f>ROUND(IF(G31=0, IF(I31=0, 0, SIGN(-I31)), IF(I31=0, SIGN(G31), (G31-I31)/ABS(I31))),5)</f>
        <v>0.10706</v>
      </c>
      <c r="O31" s="8">
        <f>ROUND(O21+O25+SUM(O29:O30),5)</f>
        <v>0</v>
      </c>
    </row>
    <row r="32" spans="1:16" s="7" customFormat="1" ht="23.1" hidden="1" customHeight="1" x14ac:dyDescent="0.3">
      <c r="A32" s="4"/>
      <c r="B32" s="4"/>
      <c r="C32" s="4"/>
      <c r="D32" s="4" t="s">
        <v>30</v>
      </c>
      <c r="E32" s="4"/>
      <c r="F32" s="4"/>
      <c r="G32" s="8"/>
      <c r="H32" s="8"/>
      <c r="I32" s="8"/>
      <c r="J32" s="8"/>
      <c r="K32" s="8"/>
      <c r="L32" s="9"/>
      <c r="M32" s="10"/>
      <c r="O32" s="8"/>
    </row>
    <row r="33" spans="1:16" s="7" customFormat="1" ht="23.1" hidden="1" customHeight="1" x14ac:dyDescent="0.3">
      <c r="A33" s="4"/>
      <c r="B33" s="4"/>
      <c r="C33" s="4"/>
      <c r="D33" s="4"/>
      <c r="E33" s="4" t="s">
        <v>31</v>
      </c>
      <c r="F33" s="4"/>
      <c r="G33" s="8"/>
      <c r="H33" s="8"/>
      <c r="I33" s="8"/>
      <c r="J33" s="8"/>
      <c r="K33" s="8"/>
      <c r="L33" s="9"/>
      <c r="M33" s="10"/>
      <c r="O33" s="8"/>
    </row>
    <row r="34" spans="1:16" s="7" customFormat="1" ht="23.1" hidden="1" customHeight="1" x14ac:dyDescent="0.3">
      <c r="A34" s="4"/>
      <c r="B34" s="4"/>
      <c r="C34" s="4"/>
      <c r="D34" s="4"/>
      <c r="E34" s="4"/>
      <c r="F34" s="4" t="s">
        <v>32</v>
      </c>
      <c r="G34" s="8">
        <v>0</v>
      </c>
      <c r="H34" s="8"/>
      <c r="I34" s="8">
        <v>-612.5</v>
      </c>
      <c r="J34" s="8"/>
      <c r="K34" s="8">
        <f>ROUND((G34-I34),5)</f>
        <v>612.5</v>
      </c>
      <c r="L34" s="9"/>
      <c r="M34" s="10">
        <f>ROUND(IF(G34=0, IF(I34=0, 0, SIGN(-I34)), IF(I34=0, SIGN(G34), (G34-I34)/ABS(I34))),5)</f>
        <v>1</v>
      </c>
      <c r="O34" s="8">
        <v>0</v>
      </c>
    </row>
    <row r="35" spans="1:16" s="7" customFormat="1" ht="23.1" hidden="1" customHeight="1" x14ac:dyDescent="0.3">
      <c r="A35" s="4"/>
      <c r="B35" s="4"/>
      <c r="C35" s="4"/>
      <c r="D35" s="4"/>
      <c r="E35" s="4"/>
      <c r="F35" s="4" t="s">
        <v>33</v>
      </c>
      <c r="G35" s="8">
        <v>0</v>
      </c>
      <c r="H35" s="8"/>
      <c r="I35" s="8">
        <v>-375</v>
      </c>
      <c r="J35" s="8"/>
      <c r="K35" s="8">
        <f>ROUND((G35-I35),5)</f>
        <v>375</v>
      </c>
      <c r="L35" s="9"/>
      <c r="M35" s="10">
        <f>ROUND(IF(G35=0, IF(I35=0, 0, SIGN(-I35)), IF(I35=0, SIGN(G35), (G35-I35)/ABS(I35))),5)</f>
        <v>1</v>
      </c>
      <c r="O35" s="8">
        <v>0</v>
      </c>
    </row>
    <row r="36" spans="1:16" s="7" customFormat="1" ht="23.1" hidden="1" customHeight="1" thickBot="1" x14ac:dyDescent="0.35">
      <c r="A36" s="4"/>
      <c r="B36" s="4"/>
      <c r="C36" s="4"/>
      <c r="D36" s="4"/>
      <c r="E36" s="4"/>
      <c r="F36" s="4" t="s">
        <v>34</v>
      </c>
      <c r="G36" s="11">
        <v>0</v>
      </c>
      <c r="H36" s="8"/>
      <c r="I36" s="11">
        <v>-5279.75</v>
      </c>
      <c r="J36" s="8"/>
      <c r="K36" s="11">
        <f>ROUND((G36-I36),5)</f>
        <v>5279.75</v>
      </c>
      <c r="L36" s="9"/>
      <c r="M36" s="12">
        <f>ROUND(IF(G36=0, IF(I36=0, 0, SIGN(-I36)), IF(I36=0, SIGN(G36), (G36-I36)/ABS(I36))),5)</f>
        <v>1</v>
      </c>
      <c r="O36" s="11">
        <v>0</v>
      </c>
    </row>
    <row r="37" spans="1:16" s="7" customFormat="1" ht="23.1" hidden="1" customHeight="1" x14ac:dyDescent="0.3">
      <c r="A37" s="4"/>
      <c r="B37" s="4"/>
      <c r="C37" s="4"/>
      <c r="D37" s="4"/>
      <c r="E37" s="4" t="s">
        <v>35</v>
      </c>
      <c r="F37" s="4"/>
      <c r="G37" s="8">
        <f>ROUND(SUM(G33:G36),5)</f>
        <v>0</v>
      </c>
      <c r="H37" s="8"/>
      <c r="I37" s="8">
        <f>ROUND(SUM(I33:I36),5)</f>
        <v>-6267.25</v>
      </c>
      <c r="J37" s="8"/>
      <c r="K37" s="8">
        <f>ROUND((G37-I37),5)</f>
        <v>6267.25</v>
      </c>
      <c r="L37" s="9"/>
      <c r="M37" s="10">
        <f>ROUND(IF(G37=0, IF(I37=0, 0, SIGN(-I37)), IF(I37=0, SIGN(G37), (G37-I37)/ABS(I37))),5)</f>
        <v>1</v>
      </c>
      <c r="O37" s="8">
        <f>ROUND(SUM(O33:O36),5)</f>
        <v>0</v>
      </c>
    </row>
    <row r="38" spans="1:16" s="7" customFormat="1" ht="23.1" hidden="1" customHeight="1" x14ac:dyDescent="0.3">
      <c r="A38" s="4"/>
      <c r="B38" s="4"/>
      <c r="C38" s="4"/>
      <c r="D38" s="4"/>
      <c r="E38" s="4" t="s">
        <v>36</v>
      </c>
      <c r="F38" s="4"/>
      <c r="G38" s="8"/>
      <c r="H38" s="8"/>
      <c r="I38" s="8"/>
      <c r="J38" s="8"/>
      <c r="K38" s="8"/>
      <c r="L38" s="9"/>
      <c r="M38" s="10"/>
      <c r="O38" s="8"/>
    </row>
    <row r="39" spans="1:16" s="7" customFormat="1" ht="23.1" hidden="1" customHeight="1" x14ac:dyDescent="0.3">
      <c r="A39" s="4"/>
      <c r="B39" s="4"/>
      <c r="C39" s="4"/>
      <c r="D39" s="4"/>
      <c r="E39" s="4"/>
      <c r="F39" s="4" t="s">
        <v>37</v>
      </c>
      <c r="G39" s="8">
        <v>0</v>
      </c>
      <c r="H39" s="8"/>
      <c r="I39" s="8">
        <v>220.5</v>
      </c>
      <c r="J39" s="8"/>
      <c r="K39" s="8">
        <f t="shared" ref="K39:K47" si="4">ROUND((G39-I39),5)</f>
        <v>-220.5</v>
      </c>
      <c r="L39" s="9"/>
      <c r="M39" s="10">
        <f t="shared" ref="M39:M47" si="5">ROUND(IF(G39=0, IF(I39=0, 0, SIGN(-I39)), IF(I39=0, SIGN(G39), (G39-I39)/ABS(I39))),5)</f>
        <v>-1</v>
      </c>
      <c r="O39" s="8">
        <v>0</v>
      </c>
    </row>
    <row r="40" spans="1:16" s="7" customFormat="1" ht="23.1" hidden="1" customHeight="1" x14ac:dyDescent="0.3">
      <c r="A40" s="4"/>
      <c r="B40" s="4"/>
      <c r="C40" s="4"/>
      <c r="D40" s="4"/>
      <c r="E40" s="4"/>
      <c r="F40" s="4" t="s">
        <v>32</v>
      </c>
      <c r="G40" s="8">
        <v>0</v>
      </c>
      <c r="H40" s="8"/>
      <c r="I40" s="8">
        <v>6895</v>
      </c>
      <c r="J40" s="8"/>
      <c r="K40" s="8">
        <f t="shared" si="4"/>
        <v>-6895</v>
      </c>
      <c r="L40" s="9"/>
      <c r="M40" s="10">
        <f t="shared" si="5"/>
        <v>-1</v>
      </c>
      <c r="O40" s="8">
        <v>0</v>
      </c>
    </row>
    <row r="41" spans="1:16" s="7" customFormat="1" ht="23.1" hidden="1" customHeight="1" x14ac:dyDescent="0.3">
      <c r="A41" s="4"/>
      <c r="B41" s="4"/>
      <c r="C41" s="4"/>
      <c r="D41" s="4"/>
      <c r="E41" s="4"/>
      <c r="F41" s="4" t="s">
        <v>38</v>
      </c>
      <c r="G41" s="8">
        <v>0</v>
      </c>
      <c r="H41" s="8"/>
      <c r="I41" s="8">
        <v>459</v>
      </c>
      <c r="J41" s="8"/>
      <c r="K41" s="8">
        <f t="shared" si="4"/>
        <v>-459</v>
      </c>
      <c r="L41" s="9"/>
      <c r="M41" s="10">
        <f t="shared" si="5"/>
        <v>-1</v>
      </c>
      <c r="O41" s="8">
        <v>0</v>
      </c>
    </row>
    <row r="42" spans="1:16" s="7" customFormat="1" ht="23.1" hidden="1" customHeight="1" x14ac:dyDescent="0.3">
      <c r="A42" s="4"/>
      <c r="B42" s="4"/>
      <c r="C42" s="4"/>
      <c r="D42" s="4"/>
      <c r="E42" s="4"/>
      <c r="F42" s="4" t="s">
        <v>33</v>
      </c>
      <c r="G42" s="8">
        <v>0</v>
      </c>
      <c r="H42" s="8"/>
      <c r="I42" s="8">
        <v>4171.5200000000004</v>
      </c>
      <c r="J42" s="8"/>
      <c r="K42" s="8">
        <f t="shared" si="4"/>
        <v>-4171.5200000000004</v>
      </c>
      <c r="L42" s="9"/>
      <c r="M42" s="10">
        <f t="shared" si="5"/>
        <v>-1</v>
      </c>
      <c r="O42" s="8">
        <v>0</v>
      </c>
    </row>
    <row r="43" spans="1:16" s="7" customFormat="1" ht="23.1" hidden="1" customHeight="1" thickBot="1" x14ac:dyDescent="0.35">
      <c r="A43" s="4"/>
      <c r="B43" s="4"/>
      <c r="C43" s="4"/>
      <c r="D43" s="4"/>
      <c r="E43" s="4"/>
      <c r="F43" s="4" t="s">
        <v>39</v>
      </c>
      <c r="G43" s="11">
        <v>0</v>
      </c>
      <c r="H43" s="8"/>
      <c r="I43" s="11">
        <v>26</v>
      </c>
      <c r="J43" s="8"/>
      <c r="K43" s="11">
        <f t="shared" si="4"/>
        <v>-26</v>
      </c>
      <c r="L43" s="9"/>
      <c r="M43" s="12">
        <f t="shared" si="5"/>
        <v>-1</v>
      </c>
      <c r="O43" s="11">
        <v>0</v>
      </c>
    </row>
    <row r="44" spans="1:16" s="7" customFormat="1" ht="23.1" hidden="1" customHeight="1" x14ac:dyDescent="0.3">
      <c r="A44" s="4"/>
      <c r="B44" s="4"/>
      <c r="C44" s="4"/>
      <c r="D44" s="4"/>
      <c r="E44" s="4" t="s">
        <v>40</v>
      </c>
      <c r="F44" s="4"/>
      <c r="G44" s="8">
        <f>ROUND(SUM(G38:G43),5)</f>
        <v>0</v>
      </c>
      <c r="H44" s="8"/>
      <c r="I44" s="8">
        <f>ROUND(SUM(I38:I43),5)</f>
        <v>11772.02</v>
      </c>
      <c r="J44" s="8"/>
      <c r="K44" s="8">
        <f t="shared" si="4"/>
        <v>-11772.02</v>
      </c>
      <c r="L44" s="9"/>
      <c r="M44" s="10">
        <f t="shared" si="5"/>
        <v>-1</v>
      </c>
      <c r="O44" s="8">
        <f>ROUND(SUM(O38:O43),5)</f>
        <v>0</v>
      </c>
    </row>
    <row r="45" spans="1:16" s="7" customFormat="1" ht="23.1" hidden="1" customHeight="1" thickBot="1" x14ac:dyDescent="0.35">
      <c r="A45" s="4"/>
      <c r="B45" s="4"/>
      <c r="C45" s="4"/>
      <c r="D45" s="4"/>
      <c r="E45" s="4" t="s">
        <v>41</v>
      </c>
      <c r="F45" s="4"/>
      <c r="G45" s="13">
        <v>220.5</v>
      </c>
      <c r="H45" s="8"/>
      <c r="I45" s="13">
        <v>0</v>
      </c>
      <c r="J45" s="8"/>
      <c r="K45" s="13">
        <f t="shared" si="4"/>
        <v>220.5</v>
      </c>
      <c r="L45" s="9"/>
      <c r="M45" s="14">
        <f t="shared" si="5"/>
        <v>1</v>
      </c>
      <c r="O45" s="13"/>
      <c r="P45" s="7" t="s">
        <v>83</v>
      </c>
    </row>
    <row r="46" spans="1:16" s="7" customFormat="1" ht="23.1" hidden="1" customHeight="1" thickBot="1" x14ac:dyDescent="0.35">
      <c r="A46" s="4"/>
      <c r="B46" s="4"/>
      <c r="C46" s="4"/>
      <c r="D46" s="4" t="s">
        <v>42</v>
      </c>
      <c r="E46" s="4"/>
      <c r="F46" s="4"/>
      <c r="G46" s="15">
        <f>ROUND(G32+G37+SUM(G44:G45),5)</f>
        <v>220.5</v>
      </c>
      <c r="H46" s="8"/>
      <c r="I46" s="15">
        <f>ROUND(I32+I37+SUM(I44:I45),5)</f>
        <v>5504.77</v>
      </c>
      <c r="J46" s="8"/>
      <c r="K46" s="15">
        <f t="shared" si="4"/>
        <v>-5284.27</v>
      </c>
      <c r="L46" s="9"/>
      <c r="M46" s="16">
        <f t="shared" si="5"/>
        <v>-0.95994000000000002</v>
      </c>
      <c r="O46" s="15">
        <f>ROUND(O32+O37+SUM(O44:O45),5)</f>
        <v>0</v>
      </c>
    </row>
    <row r="47" spans="1:16" s="7" customFormat="1" ht="23.1" customHeight="1" x14ac:dyDescent="0.3">
      <c r="A47" s="4"/>
      <c r="B47" s="4"/>
      <c r="C47" s="4" t="s">
        <v>43</v>
      </c>
      <c r="D47" s="4"/>
      <c r="E47" s="4"/>
      <c r="F47" s="4"/>
      <c r="G47" s="8">
        <f>ROUND(SUM(G19:G20)+G31+G46,5)</f>
        <v>14403.94</v>
      </c>
      <c r="H47" s="8"/>
      <c r="I47" s="8">
        <f>ROUND(SUM(I19:I20)+I31+I46,5)</f>
        <v>16698.52</v>
      </c>
      <c r="J47" s="8"/>
      <c r="K47" s="8">
        <f t="shared" si="4"/>
        <v>-2294.58</v>
      </c>
      <c r="L47" s="9"/>
      <c r="M47" s="10">
        <f t="shared" si="5"/>
        <v>-0.13741</v>
      </c>
      <c r="O47" s="8">
        <f>ROUND(SUM(O19:O20)+O31+O46,5)</f>
        <v>15000</v>
      </c>
    </row>
    <row r="48" spans="1:16" s="7" customFormat="1" ht="18.75" hidden="1" x14ac:dyDescent="0.3">
      <c r="A48" s="4"/>
      <c r="B48" s="4"/>
      <c r="C48" s="4" t="s">
        <v>44</v>
      </c>
      <c r="D48" s="4"/>
      <c r="E48" s="4"/>
      <c r="F48" s="4"/>
      <c r="G48" s="8"/>
      <c r="H48" s="8"/>
      <c r="I48" s="8"/>
      <c r="J48" s="8"/>
      <c r="K48" s="8"/>
      <c r="L48" s="9"/>
      <c r="M48" s="10"/>
      <c r="O48" s="8"/>
    </row>
    <row r="49" spans="1:16" s="7" customFormat="1" ht="19.5" hidden="1" thickBot="1" x14ac:dyDescent="0.35">
      <c r="A49" s="4"/>
      <c r="B49" s="4"/>
      <c r="C49" s="4"/>
      <c r="D49" s="4" t="s">
        <v>4</v>
      </c>
      <c r="E49" s="4"/>
      <c r="F49" s="4"/>
      <c r="G49" s="11">
        <v>1910.56</v>
      </c>
      <c r="H49" s="8"/>
      <c r="I49" s="11">
        <v>4116.96</v>
      </c>
      <c r="J49" s="8"/>
      <c r="K49" s="11">
        <f>ROUND((G49-I49),5)</f>
        <v>-2206.4</v>
      </c>
      <c r="L49" s="9"/>
      <c r="M49" s="12">
        <f>ROUND(IF(G49=0, IF(I49=0, 0, SIGN(-I49)), IF(I49=0, SIGN(G49), (G49-I49)/ABS(I49))),5)</f>
        <v>-0.53593000000000002</v>
      </c>
      <c r="O49" s="11">
        <v>4000</v>
      </c>
      <c r="P49" s="7" t="s">
        <v>91</v>
      </c>
    </row>
    <row r="50" spans="1:16" s="7" customFormat="1" ht="18.75" x14ac:dyDescent="0.3">
      <c r="A50" s="4"/>
      <c r="B50" s="4"/>
      <c r="C50" s="4" t="s">
        <v>45</v>
      </c>
      <c r="D50" s="4"/>
      <c r="E50" s="4"/>
      <c r="F50" s="4"/>
      <c r="G50" s="8">
        <f>ROUND(SUM(G48:G49),5)</f>
        <v>1910.56</v>
      </c>
      <c r="H50" s="8"/>
      <c r="I50" s="8">
        <f>ROUND(SUM(I48:I49),5)</f>
        <v>4116.96</v>
      </c>
      <c r="J50" s="8"/>
      <c r="K50" s="8">
        <f>ROUND((G50-I50),5)</f>
        <v>-2206.4</v>
      </c>
      <c r="L50" s="9"/>
      <c r="M50" s="10">
        <f>ROUND(IF(G50=0, IF(I50=0, 0, SIGN(-I50)), IF(I50=0, SIGN(G50), (G50-I50)/ABS(I50))),5)</f>
        <v>-0.53593000000000002</v>
      </c>
      <c r="O50" s="8">
        <f>ROUND(SUM(O48:O49),5)</f>
        <v>4000</v>
      </c>
      <c r="P50" s="26"/>
    </row>
    <row r="51" spans="1:16" s="7" customFormat="1" ht="23.1" hidden="1" customHeight="1" x14ac:dyDescent="0.3">
      <c r="A51" s="4"/>
      <c r="B51" s="4"/>
      <c r="C51" s="4" t="s">
        <v>46</v>
      </c>
      <c r="D51" s="4"/>
      <c r="E51" s="4"/>
      <c r="F51" s="4"/>
      <c r="G51" s="8"/>
      <c r="H51" s="8"/>
      <c r="I51" s="8"/>
      <c r="J51" s="8"/>
      <c r="K51" s="8"/>
      <c r="L51" s="9"/>
      <c r="M51" s="10"/>
      <c r="O51" s="8"/>
    </row>
    <row r="52" spans="1:16" s="7" customFormat="1" ht="23.1" hidden="1" customHeight="1" thickBot="1" x14ac:dyDescent="0.35">
      <c r="A52" s="4"/>
      <c r="B52" s="4"/>
      <c r="C52" s="4"/>
      <c r="D52" s="4" t="s">
        <v>4</v>
      </c>
      <c r="E52" s="4"/>
      <c r="F52" s="4"/>
      <c r="G52" s="11">
        <v>1322</v>
      </c>
      <c r="H52" s="8"/>
      <c r="I52" s="11">
        <v>1752</v>
      </c>
      <c r="J52" s="8"/>
      <c r="K52" s="11">
        <f>ROUND((G52-I52),5)</f>
        <v>-430</v>
      </c>
      <c r="L52" s="9"/>
      <c r="M52" s="12">
        <f>ROUND(IF(G52=0, IF(I52=0, 0, SIGN(-I52)), IF(I52=0, SIGN(G52), (G52-I52)/ABS(I52))),5)</f>
        <v>-0.24543000000000001</v>
      </c>
      <c r="O52" s="11">
        <v>1750</v>
      </c>
    </row>
    <row r="53" spans="1:16" s="7" customFormat="1" ht="23.1" customHeight="1" x14ac:dyDescent="0.3">
      <c r="A53" s="4"/>
      <c r="B53" s="4"/>
      <c r="C53" s="4" t="s">
        <v>47</v>
      </c>
      <c r="D53" s="4"/>
      <c r="E53" s="4"/>
      <c r="F53" s="4"/>
      <c r="G53" s="8">
        <f>ROUND(SUM(G51:G52),5)</f>
        <v>1322</v>
      </c>
      <c r="H53" s="8"/>
      <c r="I53" s="8">
        <f>ROUND(SUM(I51:I52),5)</f>
        <v>1752</v>
      </c>
      <c r="J53" s="8"/>
      <c r="K53" s="8">
        <f>ROUND((G53-I53),5)</f>
        <v>-430</v>
      </c>
      <c r="L53" s="9"/>
      <c r="M53" s="10">
        <f>ROUND(IF(G53=0, IF(I53=0, 0, SIGN(-I53)), IF(I53=0, SIGN(G53), (G53-I53)/ABS(I53))),5)</f>
        <v>-0.24543000000000001</v>
      </c>
      <c r="O53" s="8">
        <f>ROUND(SUM(O51:O52),5)</f>
        <v>1750</v>
      </c>
    </row>
    <row r="54" spans="1:16" s="7" customFormat="1" ht="23.1" customHeight="1" x14ac:dyDescent="0.3">
      <c r="A54" s="4"/>
      <c r="B54" s="4"/>
      <c r="C54" s="4" t="s">
        <v>48</v>
      </c>
      <c r="D54" s="4"/>
      <c r="E54" s="4"/>
      <c r="F54" s="4"/>
      <c r="G54" s="8">
        <v>2000</v>
      </c>
      <c r="H54" s="8"/>
      <c r="I54" s="8">
        <v>0</v>
      </c>
      <c r="J54" s="8"/>
      <c r="K54" s="8">
        <f>ROUND((G54-I54),5)</f>
        <v>2000</v>
      </c>
      <c r="L54" s="9"/>
      <c r="M54" s="10">
        <f>ROUND(IF(G54=0, IF(I54=0, 0, SIGN(-I54)), IF(I54=0, SIGN(G54), (G54-I54)/ABS(I54))),5)</f>
        <v>1</v>
      </c>
      <c r="O54" s="8"/>
    </row>
    <row r="55" spans="1:16" s="7" customFormat="1" ht="18.75" x14ac:dyDescent="0.3">
      <c r="A55" s="4"/>
      <c r="B55" s="4"/>
      <c r="C55" s="4" t="s">
        <v>49</v>
      </c>
      <c r="D55" s="4"/>
      <c r="E55" s="4"/>
      <c r="F55" s="4"/>
      <c r="G55" s="8"/>
      <c r="H55" s="8"/>
      <c r="I55" s="8"/>
      <c r="J55" s="8"/>
      <c r="K55" s="8"/>
      <c r="L55" s="9"/>
      <c r="M55" s="10"/>
      <c r="O55" s="8"/>
    </row>
    <row r="56" spans="1:16" s="7" customFormat="1" ht="18.75" x14ac:dyDescent="0.3">
      <c r="A56" s="4"/>
      <c r="B56" s="4"/>
      <c r="C56" s="4"/>
      <c r="D56" s="4" t="s">
        <v>6</v>
      </c>
      <c r="E56" s="4"/>
      <c r="F56" s="4"/>
      <c r="G56" s="8">
        <v>-23207.94</v>
      </c>
      <c r="H56" s="8"/>
      <c r="I56" s="8">
        <v>-20750.849999999999</v>
      </c>
      <c r="J56" s="8"/>
      <c r="K56" s="8">
        <f>ROUND((G56-I56),5)</f>
        <v>-2457.09</v>
      </c>
      <c r="L56" s="9"/>
      <c r="M56" s="10">
        <f>ROUND(IF(G56=0, IF(I56=0, 0, SIGN(-I56)), IF(I56=0, SIGN(G56), (G56-I56)/ABS(I56))),5)</f>
        <v>-0.11841</v>
      </c>
      <c r="O56" s="8"/>
    </row>
    <row r="57" spans="1:16" s="7" customFormat="1" ht="19.5" thickBot="1" x14ac:dyDescent="0.35">
      <c r="A57" s="4"/>
      <c r="B57" s="4"/>
      <c r="C57" s="4"/>
      <c r="D57" s="4" t="s">
        <v>4</v>
      </c>
      <c r="E57" s="4"/>
      <c r="F57" s="4"/>
      <c r="G57" s="11">
        <v>22076.75</v>
      </c>
      <c r="H57" s="8"/>
      <c r="I57" s="11">
        <v>27147.74</v>
      </c>
      <c r="J57" s="8"/>
      <c r="K57" s="11">
        <f>ROUND((G57-I57),5)</f>
        <v>-5070.99</v>
      </c>
      <c r="L57" s="9"/>
      <c r="M57" s="12">
        <f>ROUND(IF(G57=0, IF(I57=0, 0, SIGN(-I57)), IF(I57=0, SIGN(G57), (G57-I57)/ABS(I57))),5)</f>
        <v>-0.18679000000000001</v>
      </c>
      <c r="O57" s="11">
        <v>5000</v>
      </c>
    </row>
    <row r="58" spans="1:16" s="7" customFormat="1" ht="23.1" customHeight="1" thickBot="1" x14ac:dyDescent="0.35">
      <c r="A58" s="4"/>
      <c r="B58" s="4"/>
      <c r="C58" s="4" t="s">
        <v>50</v>
      </c>
      <c r="D58" s="4"/>
      <c r="E58" s="4"/>
      <c r="F58" s="4"/>
      <c r="G58" s="8">
        <f>ROUND(SUM(G55:G57),5)</f>
        <v>-1131.19</v>
      </c>
      <c r="H58" s="8"/>
      <c r="I58" s="8">
        <f>ROUND(SUM(I55:I57),5)</f>
        <v>6396.89</v>
      </c>
      <c r="J58" s="8"/>
      <c r="K58" s="8">
        <f>ROUND((G58-I58),5)</f>
        <v>-7528.08</v>
      </c>
      <c r="L58" s="9"/>
      <c r="M58" s="10">
        <f>ROUND(IF(G58=0, IF(I58=0, 0, SIGN(-I58)), IF(I58=0, SIGN(G58), (G58-I58)/ABS(I58))),5)</f>
        <v>-1.17683</v>
      </c>
      <c r="O58" s="8">
        <f>ROUND(SUM(O55:O57),5)</f>
        <v>5000</v>
      </c>
      <c r="P58" s="7" t="s">
        <v>104</v>
      </c>
    </row>
    <row r="59" spans="1:16" s="7" customFormat="1" ht="23.1" hidden="1" customHeight="1" x14ac:dyDescent="0.3">
      <c r="A59" s="4"/>
      <c r="B59" s="4"/>
      <c r="C59" s="4" t="s">
        <v>51</v>
      </c>
      <c r="D59" s="4"/>
      <c r="E59" s="4"/>
      <c r="F59" s="4"/>
      <c r="G59" s="8"/>
      <c r="H59" s="8"/>
      <c r="I59" s="8"/>
      <c r="J59" s="8"/>
      <c r="K59" s="8"/>
      <c r="L59" s="9"/>
      <c r="M59" s="10"/>
      <c r="O59" s="8"/>
    </row>
    <row r="60" spans="1:16" s="7" customFormat="1" ht="23.1" hidden="1" customHeight="1" x14ac:dyDescent="0.3">
      <c r="A60" s="4"/>
      <c r="B60" s="4"/>
      <c r="C60" s="4"/>
      <c r="D60" s="4" t="s">
        <v>6</v>
      </c>
      <c r="E60" s="4"/>
      <c r="F60" s="4"/>
      <c r="G60" s="8">
        <v>-36</v>
      </c>
      <c r="H60" s="8"/>
      <c r="I60" s="8">
        <v>-270</v>
      </c>
      <c r="J60" s="8"/>
      <c r="K60" s="8">
        <f>ROUND((G60-I60),5)</f>
        <v>234</v>
      </c>
      <c r="L60" s="9"/>
      <c r="M60" s="10">
        <f>ROUND(IF(G60=0, IF(I60=0, 0, SIGN(-I60)), IF(I60=0, SIGN(G60), (G60-I60)/ABS(I60))),5)</f>
        <v>0.86667000000000005</v>
      </c>
      <c r="O60" s="8"/>
    </row>
    <row r="61" spans="1:16" s="7" customFormat="1" ht="23.1" hidden="1" customHeight="1" thickBot="1" x14ac:dyDescent="0.35">
      <c r="A61" s="4"/>
      <c r="B61" s="4"/>
      <c r="C61" s="4"/>
      <c r="D61" s="4" t="s">
        <v>4</v>
      </c>
      <c r="E61" s="4"/>
      <c r="F61" s="4"/>
      <c r="G61" s="13">
        <v>0</v>
      </c>
      <c r="H61" s="8"/>
      <c r="I61" s="13">
        <v>205</v>
      </c>
      <c r="J61" s="8"/>
      <c r="K61" s="13">
        <f>ROUND((G61-I61),5)</f>
        <v>-205</v>
      </c>
      <c r="L61" s="9"/>
      <c r="M61" s="14">
        <f>ROUND(IF(G61=0, IF(I61=0, 0, SIGN(-I61)), IF(I61=0, SIGN(G61), (G61-I61)/ABS(I61))),5)</f>
        <v>-1</v>
      </c>
      <c r="O61" s="13">
        <v>200</v>
      </c>
    </row>
    <row r="62" spans="1:16" s="7" customFormat="1" ht="23.1" customHeight="1" thickBot="1" x14ac:dyDescent="0.35">
      <c r="A62" s="4"/>
      <c r="B62" s="4"/>
      <c r="C62" s="4" t="s">
        <v>52</v>
      </c>
      <c r="D62" s="4"/>
      <c r="E62" s="4"/>
      <c r="F62" s="4"/>
      <c r="G62" s="15">
        <f>ROUND(SUM(G59:G61),5)</f>
        <v>-36</v>
      </c>
      <c r="H62" s="8"/>
      <c r="I62" s="15">
        <f>ROUND(SUM(I59:I61),5)</f>
        <v>-65</v>
      </c>
      <c r="J62" s="8"/>
      <c r="K62" s="15">
        <f>ROUND((G62-I62),5)</f>
        <v>29</v>
      </c>
      <c r="L62" s="9"/>
      <c r="M62" s="16">
        <f>ROUND(IF(G62=0, IF(I62=0, 0, SIGN(-I62)), IF(I62=0, SIGN(G62), (G62-I62)/ABS(I62))),5)</f>
        <v>0.44614999999999999</v>
      </c>
      <c r="O62" s="15">
        <f>ROUND(SUM(O59:O61),5)</f>
        <v>200</v>
      </c>
    </row>
    <row r="63" spans="1:16" s="7" customFormat="1" ht="23.1" customHeight="1" x14ac:dyDescent="0.3">
      <c r="A63" s="4"/>
      <c r="B63" s="4" t="s">
        <v>53</v>
      </c>
      <c r="C63" s="4"/>
      <c r="D63" s="4"/>
      <c r="E63" s="4"/>
      <c r="F63" s="4"/>
      <c r="G63" s="8">
        <f>ROUND(G3+SUM(G7:G10)+SUM(G16:G18)+G47+G50+SUM(G53:G54)+G58+G62,5)</f>
        <v>59006.64</v>
      </c>
      <c r="H63" s="8"/>
      <c r="I63" s="8">
        <f>ROUND(I3+SUM(I7:I10)+SUM(I16:I18)+I47+I50+SUM(I53:I54)+I58+I62,5)</f>
        <v>67827.66</v>
      </c>
      <c r="J63" s="8"/>
      <c r="K63" s="8">
        <f>ROUND((G63-I63),5)</f>
        <v>-8821.02</v>
      </c>
      <c r="L63" s="9"/>
      <c r="M63" s="10">
        <f>ROUND(IF(G63=0, IF(I63=0, 0, SIGN(-I63)), IF(I63=0, SIGN(G63), (G63-I63)/ABS(I63))),5)</f>
        <v>-0.13005</v>
      </c>
      <c r="O63" s="8">
        <f>ROUND(O3+SUM(O7:O10)+SUM(O16:O18)+O47+O50+SUM(O53:O54)+O58+O62,5)</f>
        <v>60950</v>
      </c>
    </row>
    <row r="64" spans="1:16" s="7" customFormat="1" ht="23.1" customHeight="1" x14ac:dyDescent="0.3">
      <c r="A64" s="4"/>
      <c r="B64" s="4" t="s">
        <v>6</v>
      </c>
      <c r="C64" s="4"/>
      <c r="D64" s="4"/>
      <c r="E64" s="4"/>
      <c r="F64" s="4"/>
      <c r="G64" s="8"/>
      <c r="H64" s="8"/>
      <c r="I64" s="8"/>
      <c r="J64" s="8"/>
      <c r="K64" s="8"/>
      <c r="L64" s="9"/>
      <c r="M64" s="10"/>
      <c r="O64" s="8"/>
    </row>
    <row r="65" spans="1:16" s="7" customFormat="1" ht="23.1" customHeight="1" x14ac:dyDescent="0.3">
      <c r="A65" s="4"/>
      <c r="B65" s="4"/>
      <c r="C65" s="4" t="s">
        <v>102</v>
      </c>
      <c r="D65" s="4"/>
      <c r="E65" s="4"/>
      <c r="F65" s="4"/>
      <c r="G65" s="8">
        <v>2679.94</v>
      </c>
      <c r="H65" s="8"/>
      <c r="I65" s="8">
        <v>3512.25</v>
      </c>
      <c r="J65" s="8"/>
      <c r="K65" s="8">
        <f>ROUND((G65-I65),5)</f>
        <v>-832.31</v>
      </c>
      <c r="L65" s="9"/>
      <c r="M65" s="10">
        <f>ROUND(IF(G65=0, IF(I65=0, 0, SIGN(-I65)), IF(I65=0, SIGN(G65), (G65-I65)/ABS(I65))),5)</f>
        <v>-0.23696999999999999</v>
      </c>
      <c r="O65" s="8">
        <v>4100</v>
      </c>
    </row>
    <row r="66" spans="1:16" s="7" customFormat="1" ht="37.5" x14ac:dyDescent="0.3">
      <c r="A66" s="4"/>
      <c r="B66" s="4"/>
      <c r="C66" s="4" t="s">
        <v>55</v>
      </c>
      <c r="D66" s="4"/>
      <c r="E66" s="4"/>
      <c r="F66" s="4"/>
      <c r="G66" s="8">
        <v>14672.65</v>
      </c>
      <c r="H66" s="8"/>
      <c r="I66" s="8">
        <v>31802.32</v>
      </c>
      <c r="J66" s="8"/>
      <c r="K66" s="8">
        <f>ROUND((G66-I66),5)</f>
        <v>-17129.669999999998</v>
      </c>
      <c r="L66" s="9"/>
      <c r="M66" s="10">
        <f>ROUND(IF(G66=0, IF(I66=0, 0, SIGN(-I66)), IF(I66=0, SIGN(G66), (G66-I66)/ABS(I66))),5)</f>
        <v>-0.53863000000000005</v>
      </c>
      <c r="O66" s="8">
        <v>55000</v>
      </c>
      <c r="P66" s="26" t="s">
        <v>105</v>
      </c>
    </row>
    <row r="67" spans="1:16" s="7" customFormat="1" ht="23.1" customHeight="1" x14ac:dyDescent="0.3">
      <c r="A67" s="4"/>
      <c r="B67" s="4"/>
      <c r="C67" s="4" t="s">
        <v>56</v>
      </c>
      <c r="D67" s="4"/>
      <c r="E67" s="4"/>
      <c r="F67" s="4"/>
      <c r="G67" s="8">
        <v>417.1</v>
      </c>
      <c r="H67" s="8"/>
      <c r="I67" s="8">
        <v>1950.66</v>
      </c>
      <c r="J67" s="8"/>
      <c r="K67" s="8">
        <f>ROUND((G67-I67),5)</f>
        <v>-1533.56</v>
      </c>
      <c r="L67" s="9"/>
      <c r="M67" s="10">
        <f>ROUND(IF(G67=0, IF(I67=0, 0, SIGN(-I67)), IF(I67=0, SIGN(G67), (G67-I67)/ABS(I67))),5)</f>
        <v>-0.78617000000000004</v>
      </c>
      <c r="O67" s="8">
        <v>2000</v>
      </c>
    </row>
    <row r="68" spans="1:16" s="7" customFormat="1" ht="23.1" customHeight="1" x14ac:dyDescent="0.3">
      <c r="A68" s="4"/>
      <c r="B68" s="4"/>
      <c r="C68" s="4" t="s">
        <v>57</v>
      </c>
      <c r="D68" s="4"/>
      <c r="E68" s="4"/>
      <c r="F68" s="4"/>
      <c r="G68" s="8">
        <v>0</v>
      </c>
      <c r="H68" s="8"/>
      <c r="I68" s="8">
        <v>2562.9299999999998</v>
      </c>
      <c r="J68" s="8"/>
      <c r="K68" s="8">
        <f>ROUND((G68-I68),5)</f>
        <v>-2562.9299999999998</v>
      </c>
      <c r="L68" s="9"/>
      <c r="M68" s="10">
        <f>ROUND(IF(G68=0, IF(I68=0, 0, SIGN(-I68)), IF(I68=0, SIGN(G68), (G68-I68)/ABS(I68))),5)</f>
        <v>-1</v>
      </c>
      <c r="O68" s="8">
        <v>2500</v>
      </c>
    </row>
    <row r="69" spans="1:16" s="7" customFormat="1" ht="23.1" customHeight="1" x14ac:dyDescent="0.3">
      <c r="A69" s="4"/>
      <c r="B69" s="4"/>
      <c r="C69" s="4" t="s">
        <v>58</v>
      </c>
      <c r="D69" s="4"/>
      <c r="E69" s="4"/>
      <c r="F69" s="4"/>
      <c r="G69" s="8">
        <v>5000</v>
      </c>
      <c r="H69" s="8"/>
      <c r="I69" s="8">
        <v>5000</v>
      </c>
      <c r="J69" s="8"/>
      <c r="K69" s="8">
        <f>ROUND((G69-I69),5)</f>
        <v>0</v>
      </c>
      <c r="L69" s="9"/>
      <c r="M69" s="10">
        <f>ROUND(IF(G69=0, IF(I69=0, 0, SIGN(-I69)), IF(I69=0, SIGN(G69), (G69-I69)/ABS(I69))),5)</f>
        <v>0</v>
      </c>
      <c r="O69" s="8">
        <v>5000</v>
      </c>
    </row>
    <row r="70" spans="1:16" s="7" customFormat="1" ht="18.75" hidden="1" x14ac:dyDescent="0.3">
      <c r="A70" s="4"/>
      <c r="B70" s="4"/>
      <c r="C70" s="4" t="s">
        <v>59</v>
      </c>
      <c r="D70" s="4"/>
      <c r="E70" s="4"/>
      <c r="F70" s="4"/>
      <c r="G70" s="8"/>
      <c r="H70" s="8"/>
      <c r="I70" s="8"/>
      <c r="J70" s="8"/>
      <c r="K70" s="8"/>
      <c r="L70" s="9"/>
      <c r="M70" s="10"/>
      <c r="O70" s="8"/>
    </row>
    <row r="71" spans="1:16" s="7" customFormat="1" ht="18.75" hidden="1" x14ac:dyDescent="0.3">
      <c r="A71" s="4"/>
      <c r="B71" s="4"/>
      <c r="C71" s="4"/>
      <c r="D71" s="4" t="s">
        <v>71</v>
      </c>
      <c r="E71" s="4"/>
      <c r="F71" s="4"/>
      <c r="G71" s="8">
        <v>218.61</v>
      </c>
      <c r="H71" s="8"/>
      <c r="I71" s="8">
        <v>216.81</v>
      </c>
      <c r="J71" s="8"/>
      <c r="K71" s="8">
        <f>ROUND((G71-I71),5)</f>
        <v>1.8</v>
      </c>
      <c r="L71" s="9"/>
      <c r="M71" s="10">
        <f>ROUND(IF(G71=0, IF(I71=0, 0, SIGN(-I71)), IF(I71=0, SIGN(G71), (G71-I71)/ABS(I71))),5)</f>
        <v>8.3000000000000001E-3</v>
      </c>
      <c r="O71" s="8">
        <f>250+200</f>
        <v>450</v>
      </c>
    </row>
    <row r="72" spans="1:16" s="7" customFormat="1" ht="19.5" hidden="1" thickBot="1" x14ac:dyDescent="0.35">
      <c r="A72" s="4"/>
      <c r="B72" s="4"/>
      <c r="C72" s="4"/>
      <c r="D72" s="4" t="s">
        <v>60</v>
      </c>
      <c r="E72" s="4"/>
      <c r="F72" s="4"/>
      <c r="G72" s="11">
        <v>0</v>
      </c>
      <c r="H72" s="8"/>
      <c r="I72" s="11">
        <v>-1093.47</v>
      </c>
      <c r="J72" s="8"/>
      <c r="K72" s="11">
        <f>ROUND((G72-I72),5)</f>
        <v>1093.47</v>
      </c>
      <c r="L72" s="9"/>
      <c r="M72" s="12">
        <f>ROUND(IF(G72=0, IF(I72=0, 0, SIGN(-I72)), IF(I72=0, SIGN(G72), (G72-I72)/ABS(I72))),5)</f>
        <v>1</v>
      </c>
      <c r="O72" s="11">
        <v>0</v>
      </c>
    </row>
    <row r="73" spans="1:16" s="7" customFormat="1" ht="23.1" customHeight="1" x14ac:dyDescent="0.3">
      <c r="A73" s="4"/>
      <c r="B73" s="4"/>
      <c r="C73" s="4" t="s">
        <v>61</v>
      </c>
      <c r="D73" s="4"/>
      <c r="E73" s="4"/>
      <c r="F73" s="4"/>
      <c r="G73" s="8">
        <f>ROUND(SUM(G70:G72),5)</f>
        <v>218.61</v>
      </c>
      <c r="H73" s="8"/>
      <c r="I73" s="8">
        <f>ROUND(SUM(I70:I72),5)</f>
        <v>-876.66</v>
      </c>
      <c r="J73" s="8"/>
      <c r="K73" s="8">
        <f>ROUND((G73-I73),5)</f>
        <v>1095.27</v>
      </c>
      <c r="L73" s="9"/>
      <c r="M73" s="10">
        <f>ROUND(IF(G73=0, IF(I73=0, 0, SIGN(-I73)), IF(I73=0, SIGN(G73), (G73-I73)/ABS(I73))),5)</f>
        <v>1.2493700000000001</v>
      </c>
      <c r="O73" s="8">
        <f>ROUND(SUM(O70:O72),5)</f>
        <v>450</v>
      </c>
    </row>
    <row r="74" spans="1:16" s="7" customFormat="1" ht="23.1" customHeight="1" x14ac:dyDescent="0.3">
      <c r="A74" s="4"/>
      <c r="B74" s="4"/>
      <c r="C74" s="4" t="s">
        <v>62</v>
      </c>
      <c r="D74" s="4"/>
      <c r="E74" s="4"/>
      <c r="F74" s="4"/>
      <c r="G74" s="8">
        <v>10000</v>
      </c>
      <c r="H74" s="8"/>
      <c r="I74" s="8">
        <v>5000</v>
      </c>
      <c r="J74" s="8"/>
      <c r="K74" s="8">
        <f>ROUND((G74-I74),5)</f>
        <v>5000</v>
      </c>
      <c r="L74" s="9"/>
      <c r="M74" s="10">
        <f>ROUND(IF(G74=0, IF(I74=0, 0, SIGN(-I74)), IF(I74=0, SIGN(G74), (G74-I74)/ABS(I74))),5)</f>
        <v>1</v>
      </c>
      <c r="O74" s="8">
        <v>10000</v>
      </c>
    </row>
    <row r="75" spans="1:16" s="7" customFormat="1" ht="23.1" customHeight="1" x14ac:dyDescent="0.3">
      <c r="A75" s="4"/>
      <c r="B75" s="4"/>
      <c r="C75" s="4" t="s">
        <v>63</v>
      </c>
      <c r="D75" s="4"/>
      <c r="E75" s="4"/>
      <c r="F75" s="4"/>
      <c r="G75" s="8"/>
      <c r="H75" s="8"/>
      <c r="I75" s="8"/>
      <c r="J75" s="8"/>
      <c r="K75" s="8"/>
      <c r="L75" s="9"/>
      <c r="M75" s="10"/>
      <c r="O75" s="8"/>
    </row>
    <row r="76" spans="1:16" s="7" customFormat="1" ht="23.1" customHeight="1" x14ac:dyDescent="0.3">
      <c r="A76" s="4"/>
      <c r="B76" s="4"/>
      <c r="C76" s="4"/>
      <c r="D76" s="4" t="s">
        <v>64</v>
      </c>
      <c r="E76" s="4"/>
      <c r="F76" s="4"/>
      <c r="G76" s="8">
        <v>0</v>
      </c>
      <c r="H76" s="8"/>
      <c r="I76" s="8">
        <v>1782.04</v>
      </c>
      <c r="J76" s="8"/>
      <c r="K76" s="8">
        <f>ROUND((G76-I76),5)</f>
        <v>-1782.04</v>
      </c>
      <c r="L76" s="9"/>
      <c r="M76" s="10">
        <f t="shared" ref="M76:M82" si="6">ROUND(IF(G76=0, IF(I76=0, 0, SIGN(-I76)), IF(I76=0, SIGN(G76), (G76-I76)/ABS(I76))),5)</f>
        <v>-1</v>
      </c>
      <c r="O76" s="8">
        <v>2000</v>
      </c>
    </row>
    <row r="77" spans="1:16" s="7" customFormat="1" ht="23.1" customHeight="1" x14ac:dyDescent="0.3">
      <c r="A77" s="4"/>
      <c r="B77" s="4"/>
      <c r="C77" s="4"/>
      <c r="D77" s="4" t="s">
        <v>65</v>
      </c>
      <c r="E77" s="4"/>
      <c r="F77" s="4"/>
      <c r="G77" s="8">
        <v>0</v>
      </c>
      <c r="H77" s="8"/>
      <c r="I77" s="8">
        <v>3000</v>
      </c>
      <c r="J77" s="8"/>
      <c r="K77" s="8">
        <f t="shared" ref="K77:K82" si="7">ROUND((G77-I77),5)</f>
        <v>-3000</v>
      </c>
      <c r="L77" s="9"/>
      <c r="M77" s="10">
        <f t="shared" si="6"/>
        <v>-1</v>
      </c>
      <c r="O77" s="8">
        <v>3000</v>
      </c>
    </row>
    <row r="78" spans="1:16" s="7" customFormat="1" ht="23.1" customHeight="1" thickBot="1" x14ac:dyDescent="0.35">
      <c r="A78" s="4"/>
      <c r="B78" s="4"/>
      <c r="C78" s="4"/>
      <c r="D78" s="4" t="s">
        <v>66</v>
      </c>
      <c r="E78" s="4"/>
      <c r="F78" s="4"/>
      <c r="G78" s="11">
        <v>0</v>
      </c>
      <c r="H78" s="8"/>
      <c r="I78" s="11">
        <v>1752.94</v>
      </c>
      <c r="J78" s="8"/>
      <c r="K78" s="11">
        <f t="shared" si="7"/>
        <v>-1752.94</v>
      </c>
      <c r="L78" s="9"/>
      <c r="M78" s="12">
        <f t="shared" si="6"/>
        <v>-1</v>
      </c>
      <c r="O78" s="11">
        <v>1800</v>
      </c>
    </row>
    <row r="79" spans="1:16" s="7" customFormat="1" ht="23.1" customHeight="1" x14ac:dyDescent="0.3">
      <c r="A79" s="4"/>
      <c r="B79" s="4"/>
      <c r="C79" s="4" t="s">
        <v>67</v>
      </c>
      <c r="D79" s="4"/>
      <c r="E79" s="4"/>
      <c r="F79" s="4"/>
      <c r="G79" s="8">
        <f>ROUND(SUM(G75:G78),5)</f>
        <v>0</v>
      </c>
      <c r="H79" s="8"/>
      <c r="I79" s="8">
        <f>ROUND(SUM(I75:I78),5)</f>
        <v>6534.98</v>
      </c>
      <c r="J79" s="8"/>
      <c r="K79" s="8">
        <f t="shared" si="7"/>
        <v>-6534.98</v>
      </c>
      <c r="L79" s="9"/>
      <c r="M79" s="10">
        <f t="shared" si="6"/>
        <v>-1</v>
      </c>
      <c r="O79" s="8">
        <f>ROUND(SUM(O75:O78),5)</f>
        <v>6800</v>
      </c>
    </row>
    <row r="80" spans="1:16" s="7" customFormat="1" ht="23.1" customHeight="1" thickBot="1" x14ac:dyDescent="0.35">
      <c r="A80" s="4"/>
      <c r="B80" s="4"/>
      <c r="C80" s="4" t="s">
        <v>68</v>
      </c>
      <c r="D80" s="4"/>
      <c r="E80" s="4"/>
      <c r="F80" s="4"/>
      <c r="G80" s="13">
        <v>1300</v>
      </c>
      <c r="H80" s="8"/>
      <c r="I80" s="13">
        <v>1457.46</v>
      </c>
      <c r="J80" s="8"/>
      <c r="K80" s="13">
        <f t="shared" si="7"/>
        <v>-157.46</v>
      </c>
      <c r="L80" s="9"/>
      <c r="M80" s="14">
        <f t="shared" si="6"/>
        <v>-0.10804</v>
      </c>
      <c r="O80" s="13">
        <v>5000</v>
      </c>
    </row>
    <row r="81" spans="1:15" s="7" customFormat="1" ht="23.1" customHeight="1" thickBot="1" x14ac:dyDescent="0.35">
      <c r="A81" s="4"/>
      <c r="B81" s="4" t="s">
        <v>69</v>
      </c>
      <c r="C81" s="4"/>
      <c r="D81" s="4"/>
      <c r="E81" s="4"/>
      <c r="F81" s="4"/>
      <c r="G81" s="17">
        <f>ROUND(SUM(G64:G69)+SUM(G73:G74)+SUM(G79:G80),5)</f>
        <v>34288.300000000003</v>
      </c>
      <c r="H81" s="8"/>
      <c r="I81" s="17">
        <f>ROUND(SUM(I64:I69)+SUM(I73:I74)+SUM(I79:I80),5)</f>
        <v>56943.94</v>
      </c>
      <c r="J81" s="8"/>
      <c r="K81" s="17">
        <f t="shared" si="7"/>
        <v>-22655.64</v>
      </c>
      <c r="L81" s="9"/>
      <c r="M81" s="18">
        <f t="shared" si="6"/>
        <v>-0.39785999999999999</v>
      </c>
      <c r="O81" s="17">
        <f>ROUND(SUM(O64:O69)+SUM(O73:O74)+SUM(O79:O80),5)</f>
        <v>90850</v>
      </c>
    </row>
    <row r="82" spans="1:15" s="22" customFormat="1" ht="23.1" customHeight="1" thickBot="1" x14ac:dyDescent="0.35">
      <c r="A82" s="4" t="s">
        <v>70</v>
      </c>
      <c r="B82" s="4"/>
      <c r="C82" s="4"/>
      <c r="D82" s="4"/>
      <c r="E82" s="4"/>
      <c r="F82" s="4"/>
      <c r="G82" s="19">
        <f>ROUND(G63-G81,5)</f>
        <v>24718.34</v>
      </c>
      <c r="H82" s="20"/>
      <c r="I82" s="19">
        <f>ROUND(I63-I81,5)</f>
        <v>10883.72</v>
      </c>
      <c r="J82" s="20"/>
      <c r="K82" s="19">
        <f t="shared" si="7"/>
        <v>13834.62</v>
      </c>
      <c r="L82" s="4"/>
      <c r="M82" s="21">
        <f t="shared" si="6"/>
        <v>1.2711300000000001</v>
      </c>
      <c r="O82" s="19">
        <f>ROUND(O63-O81,5)</f>
        <v>-29900</v>
      </c>
    </row>
    <row r="83" spans="1:15" s="7" customFormat="1" ht="19.5" thickTop="1" x14ac:dyDescent="0.3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5"/>
      <c r="M83" s="25"/>
      <c r="O83" s="25"/>
    </row>
    <row r="84" spans="1:15" s="7" customFormat="1" ht="18.75" x14ac:dyDescent="0.3">
      <c r="A84" s="23"/>
      <c r="B84" s="23"/>
      <c r="C84" s="23"/>
      <c r="D84" s="23"/>
      <c r="E84" s="23"/>
      <c r="F84" s="23"/>
      <c r="G84" s="25"/>
      <c r="H84" s="25"/>
      <c r="I84" s="25"/>
      <c r="J84" s="25"/>
      <c r="K84" s="28" t="s">
        <v>93</v>
      </c>
      <c r="L84" s="28"/>
      <c r="M84" s="28"/>
      <c r="N84" s="29"/>
      <c r="O84" s="30"/>
    </row>
    <row r="85" spans="1:15" s="7" customFormat="1" ht="18.75" x14ac:dyDescent="0.3">
      <c r="A85" s="23"/>
      <c r="B85" s="23"/>
      <c r="C85" s="23"/>
      <c r="D85" s="23"/>
      <c r="E85" s="23"/>
      <c r="F85" s="23"/>
      <c r="G85" s="25"/>
      <c r="H85" s="25"/>
      <c r="I85" s="25"/>
      <c r="J85" s="25"/>
      <c r="K85" s="25" t="s">
        <v>94</v>
      </c>
      <c r="L85" s="25"/>
      <c r="M85" s="25"/>
      <c r="N85" s="27"/>
      <c r="O85" s="24">
        <v>62333.120000000003</v>
      </c>
    </row>
    <row r="86" spans="1:15" s="7" customFormat="1" ht="18.75" x14ac:dyDescent="0.3">
      <c r="A86" s="23"/>
      <c r="B86" s="23"/>
      <c r="C86" s="23"/>
      <c r="D86" s="23"/>
      <c r="E86" s="23"/>
      <c r="F86" s="23"/>
      <c r="G86" s="25"/>
      <c r="H86" s="25"/>
      <c r="I86" s="25"/>
      <c r="J86" s="25"/>
      <c r="K86" s="25" t="s">
        <v>95</v>
      </c>
      <c r="L86" s="25"/>
      <c r="M86" s="25"/>
      <c r="O86" s="24">
        <f>G82</f>
        <v>24718.34</v>
      </c>
    </row>
    <row r="87" spans="1:15" ht="18.75" x14ac:dyDescent="0.3">
      <c r="K87" s="27" t="s">
        <v>103</v>
      </c>
      <c r="L87" s="25"/>
      <c r="M87" s="25"/>
      <c r="N87" s="7"/>
      <c r="O87" s="24">
        <v>87051.46</v>
      </c>
    </row>
    <row r="88" spans="1:15" x14ac:dyDescent="0.25">
      <c r="O88" s="31">
        <f>O86-G82</f>
        <v>0</v>
      </c>
    </row>
  </sheetData>
  <printOptions horizontalCentered="1"/>
  <pageMargins left="0.25" right="0.25" top="0.75" bottom="0.75" header="0.3" footer="0.3"/>
  <pageSetup scale="48" orientation="landscape" r:id="rId1"/>
  <headerFooter>
    <oddHeader>&amp;L&amp;"Times New Roman,Bold"&amp;14TREASURER REPORT&amp;C&amp;"Times New Roman,Bold"&amp;14 Tiger PAWS of Wheaton Warrenville South
 Profit &amp;&amp; Loss Prev Year Comparison
 July 2017 through June 2018</oddHeader>
    <oddFooter>&amp;R&amp;"Times New Roman,Bold"&amp;14&amp;D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123825</xdr:colOff>
                <xdr:row>0</xdr:row>
                <xdr:rowOff>228600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P88"/>
  <sheetViews>
    <sheetView topLeftCell="A50" workbookViewId="0"/>
  </sheetViews>
  <sheetFormatPr defaultColWidth="8.85546875" defaultRowHeight="15.75" x14ac:dyDescent="0.25"/>
  <cols>
    <col min="1" max="5" width="3" style="2" customWidth="1"/>
    <col min="6" max="6" width="49.42578125" style="2" customWidth="1"/>
    <col min="7" max="7" width="12.5703125" style="3" customWidth="1"/>
    <col min="8" max="8" width="2.42578125" style="3" customWidth="1"/>
    <col min="9" max="9" width="12.42578125" style="3" customWidth="1"/>
    <col min="10" max="10" width="2.42578125" style="3" customWidth="1"/>
    <col min="11" max="11" width="12.85546875" style="3" customWidth="1"/>
    <col min="12" max="12" width="2.42578125" style="3" customWidth="1"/>
    <col min="13" max="13" width="12.85546875" style="3" hidden="1" customWidth="1"/>
    <col min="14" max="14" width="4.85546875" style="1" customWidth="1"/>
    <col min="15" max="15" width="19.42578125" style="3" customWidth="1"/>
    <col min="16" max="16" width="79.140625" style="1" bestFit="1" customWidth="1"/>
    <col min="17" max="16384" width="8.85546875" style="1"/>
  </cols>
  <sheetData>
    <row r="1" spans="1:16" s="7" customFormat="1" ht="19.5" thickBot="1" x14ac:dyDescent="0.35">
      <c r="A1" s="4"/>
      <c r="B1" s="4"/>
      <c r="C1" s="4"/>
      <c r="D1" s="4"/>
      <c r="E1" s="4"/>
      <c r="F1" s="4"/>
      <c r="G1" s="5"/>
      <c r="H1" s="6"/>
      <c r="I1" s="5"/>
      <c r="J1" s="6"/>
      <c r="K1" s="5"/>
      <c r="L1" s="6"/>
      <c r="M1" s="5"/>
      <c r="O1" s="5"/>
    </row>
    <row r="2" spans="1:16" s="35" customFormat="1" ht="45.6" customHeight="1" thickTop="1" thickBot="1" x14ac:dyDescent="0.3">
      <c r="A2" s="32"/>
      <c r="B2" s="32"/>
      <c r="C2" s="32"/>
      <c r="D2" s="32"/>
      <c r="E2" s="32"/>
      <c r="F2" s="32"/>
      <c r="G2" s="33" t="s">
        <v>0</v>
      </c>
      <c r="H2" s="34"/>
      <c r="I2" s="33" t="s">
        <v>1</v>
      </c>
      <c r="J2" s="34"/>
      <c r="K2" s="33" t="s">
        <v>2</v>
      </c>
      <c r="L2" s="34"/>
      <c r="M2" s="33" t="s">
        <v>3</v>
      </c>
      <c r="O2" s="33" t="s">
        <v>72</v>
      </c>
      <c r="P2" s="36" t="s">
        <v>73</v>
      </c>
    </row>
    <row r="3" spans="1:16" s="7" customFormat="1" ht="23.1" customHeight="1" thickTop="1" x14ac:dyDescent="0.3">
      <c r="A3" s="4"/>
      <c r="B3" s="4" t="s">
        <v>4</v>
      </c>
      <c r="C3" s="4"/>
      <c r="D3" s="4"/>
      <c r="E3" s="4"/>
      <c r="F3" s="4"/>
      <c r="G3" s="8"/>
      <c r="H3" s="8"/>
      <c r="I3" s="8"/>
      <c r="J3" s="8"/>
      <c r="K3" s="8"/>
      <c r="L3" s="9"/>
      <c r="M3" s="10"/>
      <c r="O3" s="8"/>
    </row>
    <row r="4" spans="1:16" s="7" customFormat="1" ht="23.1" hidden="1" customHeight="1" x14ac:dyDescent="0.3">
      <c r="A4" s="4"/>
      <c r="B4" s="4"/>
      <c r="C4" s="4" t="s">
        <v>5</v>
      </c>
      <c r="D4" s="4"/>
      <c r="E4" s="4"/>
      <c r="F4" s="4"/>
      <c r="G4" s="8"/>
      <c r="H4" s="8"/>
      <c r="I4" s="8"/>
      <c r="J4" s="8"/>
      <c r="K4" s="8"/>
      <c r="L4" s="9"/>
      <c r="M4" s="10"/>
      <c r="O4" s="8"/>
    </row>
    <row r="5" spans="1:16" s="7" customFormat="1" ht="23.1" hidden="1" customHeight="1" x14ac:dyDescent="0.3">
      <c r="A5" s="4"/>
      <c r="B5" s="4"/>
      <c r="C5" s="4"/>
      <c r="D5" s="4" t="s">
        <v>6</v>
      </c>
      <c r="E5" s="4"/>
      <c r="F5" s="4"/>
      <c r="G5" s="8">
        <v>-879.47</v>
      </c>
      <c r="H5" s="8"/>
      <c r="I5" s="8">
        <v>-1034.24</v>
      </c>
      <c r="J5" s="8"/>
      <c r="K5" s="8">
        <f t="shared" ref="K5:K10" si="0">ROUND((G5-I5),5)</f>
        <v>154.77000000000001</v>
      </c>
      <c r="L5" s="9"/>
      <c r="M5" s="10">
        <f t="shared" ref="M5:M10" si="1">ROUND(IF(G5=0, IF(I5=0, 0, SIGN(-I5)), IF(I5=0, SIGN(G5), (G5-I5)/ABS(I5))),5)</f>
        <v>0.14965000000000001</v>
      </c>
      <c r="O5" s="8"/>
    </row>
    <row r="6" spans="1:16" s="7" customFormat="1" ht="23.1" hidden="1" customHeight="1" thickBot="1" x14ac:dyDescent="0.35">
      <c r="A6" s="4"/>
      <c r="B6" s="4"/>
      <c r="C6" s="4"/>
      <c r="D6" s="4" t="s">
        <v>4</v>
      </c>
      <c r="E6" s="4"/>
      <c r="F6" s="4"/>
      <c r="G6" s="11">
        <v>8900</v>
      </c>
      <c r="H6" s="8"/>
      <c r="I6" s="11">
        <v>7823</v>
      </c>
      <c r="J6" s="8"/>
      <c r="K6" s="11">
        <f t="shared" si="0"/>
        <v>1077</v>
      </c>
      <c r="L6" s="9"/>
      <c r="M6" s="12">
        <f t="shared" si="1"/>
        <v>0.13766999999999999</v>
      </c>
      <c r="O6" s="11"/>
    </row>
    <row r="7" spans="1:16" s="7" customFormat="1" ht="23.1" customHeight="1" x14ac:dyDescent="0.3">
      <c r="A7" s="4"/>
      <c r="B7" s="4"/>
      <c r="C7" s="4" t="s">
        <v>7</v>
      </c>
      <c r="D7" s="4"/>
      <c r="E7" s="4"/>
      <c r="F7" s="4"/>
      <c r="G7" s="8">
        <f>ROUND(SUM(G4:G6),5)</f>
        <v>8020.53</v>
      </c>
      <c r="H7" s="8"/>
      <c r="I7" s="8">
        <f>ROUND(SUM(I4:I6),5)</f>
        <v>6788.76</v>
      </c>
      <c r="J7" s="8"/>
      <c r="K7" s="8">
        <f t="shared" si="0"/>
        <v>1231.77</v>
      </c>
      <c r="L7" s="9"/>
      <c r="M7" s="10">
        <f t="shared" si="1"/>
        <v>0.18143999999999999</v>
      </c>
      <c r="O7" s="8">
        <v>10000</v>
      </c>
      <c r="P7" s="7" t="s">
        <v>101</v>
      </c>
    </row>
    <row r="8" spans="1:16" s="7" customFormat="1" ht="23.1" customHeight="1" x14ac:dyDescent="0.3">
      <c r="A8" s="4"/>
      <c r="B8" s="4"/>
      <c r="C8" s="4" t="s">
        <v>8</v>
      </c>
      <c r="D8" s="4"/>
      <c r="E8" s="4"/>
      <c r="F8" s="4"/>
      <c r="G8" s="8">
        <v>0</v>
      </c>
      <c r="H8" s="8"/>
      <c r="I8" s="8">
        <v>3508.57</v>
      </c>
      <c r="J8" s="8"/>
      <c r="K8" s="8">
        <f t="shared" si="0"/>
        <v>-3508.57</v>
      </c>
      <c r="L8" s="9"/>
      <c r="M8" s="10">
        <f t="shared" si="1"/>
        <v>-1</v>
      </c>
      <c r="O8" s="8">
        <v>0</v>
      </c>
    </row>
    <row r="9" spans="1:16" s="7" customFormat="1" ht="23.1" customHeight="1" x14ac:dyDescent="0.3">
      <c r="A9" s="4"/>
      <c r="B9" s="4"/>
      <c r="C9" s="4" t="s">
        <v>9</v>
      </c>
      <c r="D9" s="4"/>
      <c r="E9" s="4"/>
      <c r="F9" s="4"/>
      <c r="G9" s="8">
        <v>0</v>
      </c>
      <c r="H9" s="8"/>
      <c r="I9" s="8">
        <v>8260.84</v>
      </c>
      <c r="J9" s="8"/>
      <c r="K9" s="8">
        <f t="shared" si="0"/>
        <v>-8260.84</v>
      </c>
      <c r="L9" s="9"/>
      <c r="M9" s="10">
        <f t="shared" si="1"/>
        <v>-1</v>
      </c>
      <c r="O9" s="8">
        <v>10000</v>
      </c>
      <c r="P9" s="7" t="s">
        <v>75</v>
      </c>
    </row>
    <row r="10" spans="1:16" s="7" customFormat="1" ht="23.1" customHeight="1" x14ac:dyDescent="0.3">
      <c r="A10" s="4"/>
      <c r="B10" s="4"/>
      <c r="C10" s="4" t="s">
        <v>10</v>
      </c>
      <c r="D10" s="4"/>
      <c r="E10" s="4"/>
      <c r="F10" s="4"/>
      <c r="G10" s="8">
        <v>6.1</v>
      </c>
      <c r="H10" s="8"/>
      <c r="I10" s="8">
        <v>29.02</v>
      </c>
      <c r="J10" s="8"/>
      <c r="K10" s="8">
        <f t="shared" si="0"/>
        <v>-22.92</v>
      </c>
      <c r="L10" s="9"/>
      <c r="M10" s="10">
        <f t="shared" si="1"/>
        <v>-0.78979999999999995</v>
      </c>
      <c r="O10" s="8"/>
    </row>
    <row r="11" spans="1:16" s="7" customFormat="1" ht="23.1" hidden="1" customHeight="1" x14ac:dyDescent="0.3">
      <c r="A11" s="4"/>
      <c r="B11" s="4"/>
      <c r="C11" s="4" t="s">
        <v>11</v>
      </c>
      <c r="D11" s="4"/>
      <c r="E11" s="4"/>
      <c r="F11" s="4"/>
      <c r="G11" s="8"/>
      <c r="H11" s="8"/>
      <c r="I11" s="8"/>
      <c r="J11" s="8"/>
      <c r="K11" s="8"/>
      <c r="L11" s="9"/>
      <c r="M11" s="10"/>
      <c r="O11" s="8"/>
    </row>
    <row r="12" spans="1:16" s="7" customFormat="1" ht="23.1" hidden="1" customHeight="1" x14ac:dyDescent="0.3">
      <c r="A12" s="4"/>
      <c r="B12" s="4"/>
      <c r="C12" s="4"/>
      <c r="D12" s="4" t="s">
        <v>6</v>
      </c>
      <c r="E12" s="4"/>
      <c r="F12" s="4"/>
      <c r="G12" s="8">
        <v>0</v>
      </c>
      <c r="H12" s="8"/>
      <c r="I12" s="8">
        <v>-485.32</v>
      </c>
      <c r="J12" s="8"/>
      <c r="K12" s="8">
        <f t="shared" ref="K12:K18" si="2">ROUND((G12-I12),5)</f>
        <v>485.32</v>
      </c>
      <c r="L12" s="9"/>
      <c r="M12" s="10">
        <f t="shared" ref="M12:M18" si="3">ROUND(IF(G12=0, IF(I12=0, 0, SIGN(-I12)), IF(I12=0, SIGN(G12), (G12-I12)/ABS(I12))),5)</f>
        <v>1</v>
      </c>
      <c r="O12" s="8">
        <v>0</v>
      </c>
    </row>
    <row r="13" spans="1:16" s="7" customFormat="1" ht="23.1" hidden="1" customHeight="1" x14ac:dyDescent="0.3">
      <c r="A13" s="4"/>
      <c r="B13" s="4"/>
      <c r="C13" s="4"/>
      <c r="D13" s="4" t="s">
        <v>4</v>
      </c>
      <c r="E13" s="4"/>
      <c r="F13" s="4"/>
      <c r="G13" s="8">
        <v>16482.12</v>
      </c>
      <c r="H13" s="8"/>
      <c r="I13" s="8">
        <v>29767.93</v>
      </c>
      <c r="J13" s="8"/>
      <c r="K13" s="8">
        <f t="shared" si="2"/>
        <v>-13285.81</v>
      </c>
      <c r="L13" s="9"/>
      <c r="M13" s="10">
        <f t="shared" si="3"/>
        <v>-0.44630999999999998</v>
      </c>
      <c r="O13" s="8">
        <v>15000</v>
      </c>
    </row>
    <row r="14" spans="1:16" s="7" customFormat="1" ht="23.1" hidden="1" customHeight="1" x14ac:dyDescent="0.3">
      <c r="A14" s="4"/>
      <c r="B14" s="4"/>
      <c r="C14" s="4"/>
      <c r="D14" s="4" t="s">
        <v>12</v>
      </c>
      <c r="E14" s="4"/>
      <c r="F14" s="4"/>
      <c r="G14" s="8">
        <v>0</v>
      </c>
      <c r="H14" s="8"/>
      <c r="I14" s="8">
        <v>-10441.51</v>
      </c>
      <c r="J14" s="8"/>
      <c r="K14" s="8">
        <f t="shared" si="2"/>
        <v>10441.51</v>
      </c>
      <c r="L14" s="9"/>
      <c r="M14" s="10">
        <f t="shared" si="3"/>
        <v>1</v>
      </c>
      <c r="O14" s="8">
        <v>0</v>
      </c>
    </row>
    <row r="15" spans="1:16" s="7" customFormat="1" ht="23.1" hidden="1" customHeight="1" thickBot="1" x14ac:dyDescent="0.35">
      <c r="A15" s="4"/>
      <c r="B15" s="4"/>
      <c r="C15" s="4"/>
      <c r="D15" s="4" t="s">
        <v>13</v>
      </c>
      <c r="E15" s="4"/>
      <c r="F15" s="4"/>
      <c r="G15" s="11">
        <v>10840</v>
      </c>
      <c r="H15" s="8"/>
      <c r="I15" s="11">
        <v>0</v>
      </c>
      <c r="J15" s="8"/>
      <c r="K15" s="11">
        <f t="shared" si="2"/>
        <v>10840</v>
      </c>
      <c r="L15" s="9"/>
      <c r="M15" s="12">
        <f t="shared" si="3"/>
        <v>1</v>
      </c>
      <c r="O15" s="11">
        <v>0</v>
      </c>
    </row>
    <row r="16" spans="1:16" s="7" customFormat="1" ht="23.1" customHeight="1" x14ac:dyDescent="0.3">
      <c r="A16" s="4"/>
      <c r="B16" s="4"/>
      <c r="C16" s="4" t="s">
        <v>14</v>
      </c>
      <c r="D16" s="4"/>
      <c r="E16" s="4"/>
      <c r="F16" s="4"/>
      <c r="G16" s="8">
        <f>ROUND(SUM(G11:G15),5)</f>
        <v>27322.12</v>
      </c>
      <c r="H16" s="8"/>
      <c r="I16" s="8">
        <f>ROUND(SUM(I11:I15),5)</f>
        <v>18841.099999999999</v>
      </c>
      <c r="J16" s="8"/>
      <c r="K16" s="8">
        <f t="shared" si="2"/>
        <v>8481.02</v>
      </c>
      <c r="L16" s="9"/>
      <c r="M16" s="10">
        <f t="shared" si="3"/>
        <v>0.45012999999999997</v>
      </c>
      <c r="O16" s="8">
        <f>ROUND(SUM(O11:O15),5)</f>
        <v>15000</v>
      </c>
      <c r="P16" s="7" t="s">
        <v>99</v>
      </c>
    </row>
    <row r="17" spans="1:16" s="7" customFormat="1" ht="23.1" customHeight="1" x14ac:dyDescent="0.3">
      <c r="A17" s="4"/>
      <c r="B17" s="4"/>
      <c r="C17" s="4" t="s">
        <v>15</v>
      </c>
      <c r="D17" s="4"/>
      <c r="E17" s="4"/>
      <c r="F17" s="4"/>
      <c r="G17" s="8">
        <v>1601.25</v>
      </c>
      <c r="H17" s="8"/>
      <c r="I17" s="8">
        <v>1250</v>
      </c>
      <c r="J17" s="8"/>
      <c r="K17" s="8">
        <f t="shared" si="2"/>
        <v>351.25</v>
      </c>
      <c r="L17" s="9"/>
      <c r="M17" s="10">
        <f t="shared" si="3"/>
        <v>0.28100000000000003</v>
      </c>
      <c r="O17" s="8"/>
      <c r="P17" s="7" t="s">
        <v>77</v>
      </c>
    </row>
    <row r="18" spans="1:16" s="7" customFormat="1" ht="23.1" customHeight="1" x14ac:dyDescent="0.3">
      <c r="A18" s="4"/>
      <c r="B18" s="4"/>
      <c r="C18" s="4" t="s">
        <v>16</v>
      </c>
      <c r="D18" s="4"/>
      <c r="E18" s="4"/>
      <c r="F18" s="4"/>
      <c r="G18" s="8">
        <v>500</v>
      </c>
      <c r="H18" s="8"/>
      <c r="I18" s="8">
        <v>250</v>
      </c>
      <c r="J18" s="8"/>
      <c r="K18" s="8">
        <f t="shared" si="2"/>
        <v>250</v>
      </c>
      <c r="L18" s="9"/>
      <c r="M18" s="10">
        <f t="shared" si="3"/>
        <v>1</v>
      </c>
      <c r="O18" s="8"/>
      <c r="P18" s="7" t="s">
        <v>78</v>
      </c>
    </row>
    <row r="19" spans="1:16" s="7" customFormat="1" ht="23.1" customHeight="1" x14ac:dyDescent="0.3">
      <c r="A19" s="4"/>
      <c r="B19" s="4"/>
      <c r="C19" s="4" t="s">
        <v>17</v>
      </c>
      <c r="D19" s="4"/>
      <c r="E19" s="4"/>
      <c r="F19" s="4"/>
      <c r="G19" s="8"/>
      <c r="H19" s="8"/>
      <c r="I19" s="8"/>
      <c r="J19" s="8"/>
      <c r="K19" s="8"/>
      <c r="L19" s="9"/>
      <c r="M19" s="10"/>
      <c r="O19" s="8"/>
    </row>
    <row r="20" spans="1:16" s="7" customFormat="1" ht="23.1" customHeight="1" x14ac:dyDescent="0.3">
      <c r="A20" s="4"/>
      <c r="B20" s="4"/>
      <c r="C20" s="4"/>
      <c r="D20" s="4" t="s">
        <v>18</v>
      </c>
      <c r="E20" s="4"/>
      <c r="F20" s="4"/>
      <c r="G20" s="8">
        <v>-418</v>
      </c>
      <c r="H20" s="8"/>
      <c r="I20" s="8">
        <v>-1995.69</v>
      </c>
      <c r="J20" s="8"/>
      <c r="K20" s="8">
        <f>ROUND((G20-I20),5)</f>
        <v>1577.69</v>
      </c>
      <c r="L20" s="9"/>
      <c r="M20" s="10">
        <f>ROUND(IF(G20=0, IF(I20=0, 0, SIGN(-I20)), IF(I20=0, SIGN(G20), (G20-I20)/ABS(I20))),5)</f>
        <v>0.79054999999999997</v>
      </c>
      <c r="O20" s="8">
        <v>15000</v>
      </c>
      <c r="P20" s="7" t="s">
        <v>79</v>
      </c>
    </row>
    <row r="21" spans="1:16" s="7" customFormat="1" ht="23.1" hidden="1" customHeight="1" x14ac:dyDescent="0.3">
      <c r="A21" s="4"/>
      <c r="B21" s="4"/>
      <c r="C21" s="4"/>
      <c r="D21" s="4" t="s">
        <v>19</v>
      </c>
      <c r="E21" s="4"/>
      <c r="F21" s="4"/>
      <c r="G21" s="8"/>
      <c r="H21" s="8"/>
      <c r="I21" s="8"/>
      <c r="J21" s="8"/>
      <c r="K21" s="8"/>
      <c r="L21" s="9"/>
      <c r="M21" s="10"/>
      <c r="O21" s="8"/>
    </row>
    <row r="22" spans="1:16" s="7" customFormat="1" ht="23.1" customHeight="1" x14ac:dyDescent="0.3">
      <c r="A22" s="4"/>
      <c r="B22" s="4"/>
      <c r="C22" s="4"/>
      <c r="D22" s="4"/>
      <c r="E22" s="4" t="s">
        <v>20</v>
      </c>
      <c r="F22" s="4"/>
      <c r="G22" s="8"/>
      <c r="H22" s="8"/>
      <c r="I22" s="8"/>
      <c r="J22" s="8"/>
      <c r="K22" s="8"/>
      <c r="L22" s="9"/>
      <c r="M22" s="10"/>
      <c r="O22" s="8"/>
    </row>
    <row r="23" spans="1:16" s="7" customFormat="1" ht="23.1" customHeight="1" x14ac:dyDescent="0.3">
      <c r="A23" s="4"/>
      <c r="B23" s="4"/>
      <c r="C23" s="4"/>
      <c r="D23" s="4"/>
      <c r="E23" s="4"/>
      <c r="F23" s="4" t="s">
        <v>21</v>
      </c>
      <c r="G23" s="8">
        <v>-10566.43</v>
      </c>
      <c r="H23" s="8"/>
      <c r="I23" s="8">
        <v>-11131.87</v>
      </c>
      <c r="J23" s="8"/>
      <c r="K23" s="8">
        <f>ROUND((G23-I23),5)</f>
        <v>565.44000000000005</v>
      </c>
      <c r="L23" s="9"/>
      <c r="M23" s="10">
        <f>ROUND(IF(G23=0, IF(I23=0, 0, SIGN(-I23)), IF(I23=0, SIGN(G23), (G23-I23)/ABS(I23))),5)</f>
        <v>5.0790000000000002E-2</v>
      </c>
      <c r="O23" s="8"/>
    </row>
    <row r="24" spans="1:16" s="7" customFormat="1" ht="23.1" customHeight="1" thickBot="1" x14ac:dyDescent="0.35">
      <c r="A24" s="4"/>
      <c r="B24" s="4"/>
      <c r="C24" s="4"/>
      <c r="D24" s="4"/>
      <c r="E24" s="4"/>
      <c r="F24" s="4" t="s">
        <v>22</v>
      </c>
      <c r="G24" s="11">
        <v>26127.86</v>
      </c>
      <c r="H24" s="8"/>
      <c r="I24" s="11">
        <v>23556.31</v>
      </c>
      <c r="J24" s="8"/>
      <c r="K24" s="11">
        <f>ROUND((G24-I24),5)</f>
        <v>2571.5500000000002</v>
      </c>
      <c r="L24" s="9"/>
      <c r="M24" s="12">
        <f>ROUND(IF(G24=0, IF(I24=0, 0, SIGN(-I24)), IF(I24=0, SIGN(G24), (G24-I24)/ABS(I24))),5)</f>
        <v>0.10917</v>
      </c>
      <c r="O24" s="11"/>
    </row>
    <row r="25" spans="1:16" s="7" customFormat="1" ht="23.1" customHeight="1" x14ac:dyDescent="0.3">
      <c r="A25" s="4"/>
      <c r="B25" s="4"/>
      <c r="C25" s="4"/>
      <c r="D25" s="4"/>
      <c r="E25" s="4" t="s">
        <v>23</v>
      </c>
      <c r="F25" s="4"/>
      <c r="G25" s="8">
        <f>ROUND(SUM(G22:G24),5)</f>
        <v>15561.43</v>
      </c>
      <c r="H25" s="8"/>
      <c r="I25" s="8">
        <f>ROUND(SUM(I22:I24),5)</f>
        <v>12424.44</v>
      </c>
      <c r="J25" s="8"/>
      <c r="K25" s="8">
        <f>ROUND((G25-I25),5)</f>
        <v>3136.99</v>
      </c>
      <c r="L25" s="9"/>
      <c r="M25" s="10">
        <f>ROUND(IF(G25=0, IF(I25=0, 0, SIGN(-I25)), IF(I25=0, SIGN(G25), (G25-I25)/ABS(I25))),5)</f>
        <v>0.25248999999999999</v>
      </c>
      <c r="O25" s="8">
        <f>ROUND(SUM(O22:O24),5)</f>
        <v>0</v>
      </c>
    </row>
    <row r="26" spans="1:16" s="7" customFormat="1" ht="23.1" hidden="1" customHeight="1" x14ac:dyDescent="0.3">
      <c r="A26" s="4"/>
      <c r="B26" s="4"/>
      <c r="C26" s="4"/>
      <c r="D26" s="4"/>
      <c r="E26" s="4" t="s">
        <v>24</v>
      </c>
      <c r="F26" s="4"/>
      <c r="G26" s="8"/>
      <c r="H26" s="8"/>
      <c r="I26" s="8"/>
      <c r="J26" s="8"/>
      <c r="K26" s="8"/>
      <c r="L26" s="9"/>
      <c r="M26" s="10"/>
      <c r="O26" s="8"/>
    </row>
    <row r="27" spans="1:16" s="7" customFormat="1" ht="23.1" hidden="1" customHeight="1" x14ac:dyDescent="0.3">
      <c r="A27" s="4"/>
      <c r="B27" s="4"/>
      <c r="C27" s="4"/>
      <c r="D27" s="4"/>
      <c r="E27" s="4"/>
      <c r="F27" s="4" t="s">
        <v>25</v>
      </c>
      <c r="G27" s="8">
        <v>0</v>
      </c>
      <c r="H27" s="8"/>
      <c r="I27" s="8">
        <v>-337.57</v>
      </c>
      <c r="J27" s="8"/>
      <c r="K27" s="8">
        <f>ROUND((G27-I27),5)</f>
        <v>337.57</v>
      </c>
      <c r="L27" s="9"/>
      <c r="M27" s="10">
        <f>ROUND(IF(G27=0, IF(I27=0, 0, SIGN(-I27)), IF(I27=0, SIGN(G27), (G27-I27)/ABS(I27))),5)</f>
        <v>1</v>
      </c>
      <c r="O27" s="8">
        <v>0</v>
      </c>
    </row>
    <row r="28" spans="1:16" s="7" customFormat="1" ht="23.1" hidden="1" customHeight="1" thickBot="1" x14ac:dyDescent="0.35">
      <c r="A28" s="4"/>
      <c r="B28" s="4"/>
      <c r="C28" s="4"/>
      <c r="D28" s="4"/>
      <c r="E28" s="4"/>
      <c r="F28" s="4" t="s">
        <v>26</v>
      </c>
      <c r="G28" s="11">
        <v>788.5</v>
      </c>
      <c r="H28" s="8"/>
      <c r="I28" s="11">
        <v>1102.57</v>
      </c>
      <c r="J28" s="8"/>
      <c r="K28" s="11">
        <f>ROUND((G28-I28),5)</f>
        <v>-314.07</v>
      </c>
      <c r="L28" s="9"/>
      <c r="M28" s="12">
        <f>ROUND(IF(G28=0, IF(I28=0, 0, SIGN(-I28)), IF(I28=0, SIGN(G28), (G28-I28)/ABS(I28))),5)</f>
        <v>-0.28484999999999999</v>
      </c>
      <c r="O28" s="11"/>
    </row>
    <row r="29" spans="1:16" s="7" customFormat="1" ht="23.1" customHeight="1" x14ac:dyDescent="0.3">
      <c r="A29" s="4"/>
      <c r="B29" s="4"/>
      <c r="C29" s="4"/>
      <c r="D29" s="4"/>
      <c r="E29" s="4" t="s">
        <v>27</v>
      </c>
      <c r="F29" s="4"/>
      <c r="G29" s="8">
        <f>ROUND(SUM(G26:G28),5)</f>
        <v>788.5</v>
      </c>
      <c r="H29" s="8"/>
      <c r="I29" s="8">
        <f>ROUND(SUM(I26:I28),5)</f>
        <v>765</v>
      </c>
      <c r="J29" s="8"/>
      <c r="K29" s="8">
        <f>ROUND((G29-I29),5)</f>
        <v>23.5</v>
      </c>
      <c r="L29" s="9"/>
      <c r="M29" s="10">
        <f>ROUND(IF(G29=0, IF(I29=0, 0, SIGN(-I29)), IF(I29=0, SIGN(G29), (G29-I29)/ABS(I29))),5)</f>
        <v>3.0720000000000001E-2</v>
      </c>
      <c r="O29" s="8">
        <f>ROUND(SUM(O26:O28),5)</f>
        <v>0</v>
      </c>
    </row>
    <row r="30" spans="1:16" s="7" customFormat="1" ht="23.1" customHeight="1" thickBot="1" x14ac:dyDescent="0.35">
      <c r="A30" s="4"/>
      <c r="B30" s="4"/>
      <c r="C30" s="4"/>
      <c r="D30" s="4"/>
      <c r="E30" s="4" t="s">
        <v>28</v>
      </c>
      <c r="F30" s="4"/>
      <c r="G30" s="11">
        <v>22.51</v>
      </c>
      <c r="H30" s="8"/>
      <c r="I30" s="11">
        <v>0</v>
      </c>
      <c r="J30" s="8"/>
      <c r="K30" s="11">
        <f>ROUND((G30-I30),5)</f>
        <v>22.51</v>
      </c>
      <c r="L30" s="9"/>
      <c r="M30" s="12">
        <f>ROUND(IF(G30=0, IF(I30=0, 0, SIGN(-I30)), IF(I30=0, SIGN(G30), (G30-I30)/ABS(I30))),5)</f>
        <v>1</v>
      </c>
      <c r="O30" s="11"/>
      <c r="P30" s="7" t="s">
        <v>89</v>
      </c>
    </row>
    <row r="31" spans="1:16" s="7" customFormat="1" ht="23.1" customHeight="1" thickBot="1" x14ac:dyDescent="0.35">
      <c r="A31" s="4"/>
      <c r="B31" s="4"/>
      <c r="C31" s="4"/>
      <c r="D31" s="4" t="s">
        <v>29</v>
      </c>
      <c r="E31" s="4"/>
      <c r="F31" s="4"/>
      <c r="G31" s="8">
        <f>ROUND(G21+G25+SUM(G29:G30),5)</f>
        <v>16372.44</v>
      </c>
      <c r="H31" s="8"/>
      <c r="I31" s="8">
        <f>ROUND(I21+I25+SUM(I29:I30),5)</f>
        <v>13189.44</v>
      </c>
      <c r="J31" s="8"/>
      <c r="K31" s="8">
        <f>ROUND((G31-I31),5)</f>
        <v>3183</v>
      </c>
      <c r="L31" s="9"/>
      <c r="M31" s="10">
        <f>ROUND(IF(G31=0, IF(I31=0, 0, SIGN(-I31)), IF(I31=0, SIGN(G31), (G31-I31)/ABS(I31))),5)</f>
        <v>0.24132999999999999</v>
      </c>
      <c r="O31" s="8">
        <f>ROUND(O21+O25+SUM(O29:O30),5)</f>
        <v>0</v>
      </c>
    </row>
    <row r="32" spans="1:16" s="7" customFormat="1" ht="23.1" hidden="1" customHeight="1" x14ac:dyDescent="0.3">
      <c r="A32" s="4"/>
      <c r="B32" s="4"/>
      <c r="C32" s="4"/>
      <c r="D32" s="4" t="s">
        <v>30</v>
      </c>
      <c r="E32" s="4"/>
      <c r="F32" s="4"/>
      <c r="G32" s="8"/>
      <c r="H32" s="8"/>
      <c r="I32" s="8"/>
      <c r="J32" s="8"/>
      <c r="K32" s="8"/>
      <c r="L32" s="9"/>
      <c r="M32" s="10"/>
      <c r="O32" s="8"/>
    </row>
    <row r="33" spans="1:16" s="7" customFormat="1" ht="23.1" hidden="1" customHeight="1" x14ac:dyDescent="0.3">
      <c r="A33" s="4"/>
      <c r="B33" s="4"/>
      <c r="C33" s="4"/>
      <c r="D33" s="4"/>
      <c r="E33" s="4" t="s">
        <v>31</v>
      </c>
      <c r="F33" s="4"/>
      <c r="G33" s="8"/>
      <c r="H33" s="8"/>
      <c r="I33" s="8"/>
      <c r="J33" s="8"/>
      <c r="K33" s="8"/>
      <c r="L33" s="9"/>
      <c r="M33" s="10"/>
      <c r="O33" s="8"/>
    </row>
    <row r="34" spans="1:16" s="7" customFormat="1" ht="23.1" hidden="1" customHeight="1" x14ac:dyDescent="0.3">
      <c r="A34" s="4"/>
      <c r="B34" s="4"/>
      <c r="C34" s="4"/>
      <c r="D34" s="4"/>
      <c r="E34" s="4"/>
      <c r="F34" s="4" t="s">
        <v>32</v>
      </c>
      <c r="G34" s="8">
        <v>0</v>
      </c>
      <c r="H34" s="8"/>
      <c r="I34" s="8">
        <v>-612.5</v>
      </c>
      <c r="J34" s="8"/>
      <c r="K34" s="8">
        <f>ROUND((G34-I34),5)</f>
        <v>612.5</v>
      </c>
      <c r="L34" s="9"/>
      <c r="M34" s="10">
        <f>ROUND(IF(G34=0, IF(I34=0, 0, SIGN(-I34)), IF(I34=0, SIGN(G34), (G34-I34)/ABS(I34))),5)</f>
        <v>1</v>
      </c>
      <c r="O34" s="8">
        <v>0</v>
      </c>
    </row>
    <row r="35" spans="1:16" s="7" customFormat="1" ht="23.1" hidden="1" customHeight="1" x14ac:dyDescent="0.3">
      <c r="A35" s="4"/>
      <c r="B35" s="4"/>
      <c r="C35" s="4"/>
      <c r="D35" s="4"/>
      <c r="E35" s="4"/>
      <c r="F35" s="4" t="s">
        <v>33</v>
      </c>
      <c r="G35" s="8">
        <v>0</v>
      </c>
      <c r="H35" s="8"/>
      <c r="I35" s="8">
        <v>-375</v>
      </c>
      <c r="J35" s="8"/>
      <c r="K35" s="8">
        <f>ROUND((G35-I35),5)</f>
        <v>375</v>
      </c>
      <c r="L35" s="9"/>
      <c r="M35" s="10">
        <f>ROUND(IF(G35=0, IF(I35=0, 0, SIGN(-I35)), IF(I35=0, SIGN(G35), (G35-I35)/ABS(I35))),5)</f>
        <v>1</v>
      </c>
      <c r="O35" s="8">
        <v>0</v>
      </c>
    </row>
    <row r="36" spans="1:16" s="7" customFormat="1" ht="23.1" hidden="1" customHeight="1" thickBot="1" x14ac:dyDescent="0.35">
      <c r="A36" s="4"/>
      <c r="B36" s="4"/>
      <c r="C36" s="4"/>
      <c r="D36" s="4"/>
      <c r="E36" s="4"/>
      <c r="F36" s="4" t="s">
        <v>34</v>
      </c>
      <c r="G36" s="11">
        <v>0</v>
      </c>
      <c r="H36" s="8"/>
      <c r="I36" s="11">
        <v>-5279.75</v>
      </c>
      <c r="J36" s="8"/>
      <c r="K36" s="11">
        <f>ROUND((G36-I36),5)</f>
        <v>5279.75</v>
      </c>
      <c r="L36" s="9"/>
      <c r="M36" s="12">
        <f>ROUND(IF(G36=0, IF(I36=0, 0, SIGN(-I36)), IF(I36=0, SIGN(G36), (G36-I36)/ABS(I36))),5)</f>
        <v>1</v>
      </c>
      <c r="O36" s="11">
        <v>0</v>
      </c>
    </row>
    <row r="37" spans="1:16" s="7" customFormat="1" ht="23.1" hidden="1" customHeight="1" x14ac:dyDescent="0.3">
      <c r="A37" s="4"/>
      <c r="B37" s="4"/>
      <c r="C37" s="4"/>
      <c r="D37" s="4"/>
      <c r="E37" s="4" t="s">
        <v>35</v>
      </c>
      <c r="F37" s="4"/>
      <c r="G37" s="8">
        <f>ROUND(SUM(G33:G36),5)</f>
        <v>0</v>
      </c>
      <c r="H37" s="8"/>
      <c r="I37" s="8">
        <f>ROUND(SUM(I33:I36),5)</f>
        <v>-6267.25</v>
      </c>
      <c r="J37" s="8"/>
      <c r="K37" s="8">
        <f>ROUND((G37-I37),5)</f>
        <v>6267.25</v>
      </c>
      <c r="L37" s="9"/>
      <c r="M37" s="10">
        <f>ROUND(IF(G37=0, IF(I37=0, 0, SIGN(-I37)), IF(I37=0, SIGN(G37), (G37-I37)/ABS(I37))),5)</f>
        <v>1</v>
      </c>
      <c r="O37" s="8">
        <f>ROUND(SUM(O33:O36),5)</f>
        <v>0</v>
      </c>
    </row>
    <row r="38" spans="1:16" s="7" customFormat="1" ht="23.1" hidden="1" customHeight="1" x14ac:dyDescent="0.3">
      <c r="A38" s="4"/>
      <c r="B38" s="4"/>
      <c r="C38" s="4"/>
      <c r="D38" s="4"/>
      <c r="E38" s="4" t="s">
        <v>36</v>
      </c>
      <c r="F38" s="4"/>
      <c r="G38" s="8"/>
      <c r="H38" s="8"/>
      <c r="I38" s="8"/>
      <c r="J38" s="8"/>
      <c r="K38" s="8"/>
      <c r="L38" s="9"/>
      <c r="M38" s="10"/>
      <c r="O38" s="8"/>
    </row>
    <row r="39" spans="1:16" s="7" customFormat="1" ht="23.1" hidden="1" customHeight="1" x14ac:dyDescent="0.3">
      <c r="A39" s="4"/>
      <c r="B39" s="4"/>
      <c r="C39" s="4"/>
      <c r="D39" s="4"/>
      <c r="E39" s="4"/>
      <c r="F39" s="4" t="s">
        <v>37</v>
      </c>
      <c r="G39" s="8">
        <v>0</v>
      </c>
      <c r="H39" s="8"/>
      <c r="I39" s="8">
        <v>220.5</v>
      </c>
      <c r="J39" s="8"/>
      <c r="K39" s="8">
        <f t="shared" ref="K39:K47" si="4">ROUND((G39-I39),5)</f>
        <v>-220.5</v>
      </c>
      <c r="L39" s="9"/>
      <c r="M39" s="10">
        <f t="shared" ref="M39:M47" si="5">ROUND(IF(G39=0, IF(I39=0, 0, SIGN(-I39)), IF(I39=0, SIGN(G39), (G39-I39)/ABS(I39))),5)</f>
        <v>-1</v>
      </c>
      <c r="O39" s="8">
        <v>0</v>
      </c>
    </row>
    <row r="40" spans="1:16" s="7" customFormat="1" ht="23.1" hidden="1" customHeight="1" x14ac:dyDescent="0.3">
      <c r="A40" s="4"/>
      <c r="B40" s="4"/>
      <c r="C40" s="4"/>
      <c r="D40" s="4"/>
      <c r="E40" s="4"/>
      <c r="F40" s="4" t="s">
        <v>32</v>
      </c>
      <c r="G40" s="8">
        <v>0</v>
      </c>
      <c r="H40" s="8"/>
      <c r="I40" s="8">
        <v>6895</v>
      </c>
      <c r="J40" s="8"/>
      <c r="K40" s="8">
        <f t="shared" si="4"/>
        <v>-6895</v>
      </c>
      <c r="L40" s="9"/>
      <c r="M40" s="10">
        <f t="shared" si="5"/>
        <v>-1</v>
      </c>
      <c r="O40" s="8">
        <v>0</v>
      </c>
    </row>
    <row r="41" spans="1:16" s="7" customFormat="1" ht="23.1" hidden="1" customHeight="1" x14ac:dyDescent="0.3">
      <c r="A41" s="4"/>
      <c r="B41" s="4"/>
      <c r="C41" s="4"/>
      <c r="D41" s="4"/>
      <c r="E41" s="4"/>
      <c r="F41" s="4" t="s">
        <v>38</v>
      </c>
      <c r="G41" s="8">
        <v>0</v>
      </c>
      <c r="H41" s="8"/>
      <c r="I41" s="8">
        <v>459</v>
      </c>
      <c r="J41" s="8"/>
      <c r="K41" s="8">
        <f t="shared" si="4"/>
        <v>-459</v>
      </c>
      <c r="L41" s="9"/>
      <c r="M41" s="10">
        <f t="shared" si="5"/>
        <v>-1</v>
      </c>
      <c r="O41" s="8">
        <v>0</v>
      </c>
    </row>
    <row r="42" spans="1:16" s="7" customFormat="1" ht="23.1" hidden="1" customHeight="1" x14ac:dyDescent="0.3">
      <c r="A42" s="4"/>
      <c r="B42" s="4"/>
      <c r="C42" s="4"/>
      <c r="D42" s="4"/>
      <c r="E42" s="4"/>
      <c r="F42" s="4" t="s">
        <v>33</v>
      </c>
      <c r="G42" s="8">
        <v>0</v>
      </c>
      <c r="H42" s="8"/>
      <c r="I42" s="8">
        <v>4171.5200000000004</v>
      </c>
      <c r="J42" s="8"/>
      <c r="K42" s="8">
        <f t="shared" si="4"/>
        <v>-4171.5200000000004</v>
      </c>
      <c r="L42" s="9"/>
      <c r="M42" s="10">
        <f t="shared" si="5"/>
        <v>-1</v>
      </c>
      <c r="O42" s="8">
        <v>0</v>
      </c>
    </row>
    <row r="43" spans="1:16" s="7" customFormat="1" ht="23.1" hidden="1" customHeight="1" thickBot="1" x14ac:dyDescent="0.35">
      <c r="A43" s="4"/>
      <c r="B43" s="4"/>
      <c r="C43" s="4"/>
      <c r="D43" s="4"/>
      <c r="E43" s="4"/>
      <c r="F43" s="4" t="s">
        <v>39</v>
      </c>
      <c r="G43" s="11">
        <v>0</v>
      </c>
      <c r="H43" s="8"/>
      <c r="I43" s="11">
        <v>26</v>
      </c>
      <c r="J43" s="8"/>
      <c r="K43" s="11">
        <f t="shared" si="4"/>
        <v>-26</v>
      </c>
      <c r="L43" s="9"/>
      <c r="M43" s="12">
        <f t="shared" si="5"/>
        <v>-1</v>
      </c>
      <c r="O43" s="11">
        <v>0</v>
      </c>
    </row>
    <row r="44" spans="1:16" s="7" customFormat="1" ht="23.1" hidden="1" customHeight="1" x14ac:dyDescent="0.3">
      <c r="A44" s="4"/>
      <c r="B44" s="4"/>
      <c r="C44" s="4"/>
      <c r="D44" s="4"/>
      <c r="E44" s="4" t="s">
        <v>40</v>
      </c>
      <c r="F44" s="4"/>
      <c r="G44" s="8">
        <f>ROUND(SUM(G38:G43),5)</f>
        <v>0</v>
      </c>
      <c r="H44" s="8"/>
      <c r="I44" s="8">
        <f>ROUND(SUM(I38:I43),5)</f>
        <v>11772.02</v>
      </c>
      <c r="J44" s="8"/>
      <c r="K44" s="8">
        <f t="shared" si="4"/>
        <v>-11772.02</v>
      </c>
      <c r="L44" s="9"/>
      <c r="M44" s="10">
        <f t="shared" si="5"/>
        <v>-1</v>
      </c>
      <c r="O44" s="8">
        <f>ROUND(SUM(O38:O43),5)</f>
        <v>0</v>
      </c>
    </row>
    <row r="45" spans="1:16" s="7" customFormat="1" ht="23.1" hidden="1" customHeight="1" thickBot="1" x14ac:dyDescent="0.35">
      <c r="A45" s="4"/>
      <c r="B45" s="4"/>
      <c r="C45" s="4"/>
      <c r="D45" s="4"/>
      <c r="E45" s="4" t="s">
        <v>41</v>
      </c>
      <c r="F45" s="4"/>
      <c r="G45" s="13">
        <v>220.5</v>
      </c>
      <c r="H45" s="8"/>
      <c r="I45" s="13">
        <v>0</v>
      </c>
      <c r="J45" s="8"/>
      <c r="K45" s="13">
        <f t="shared" si="4"/>
        <v>220.5</v>
      </c>
      <c r="L45" s="9"/>
      <c r="M45" s="14">
        <f t="shared" si="5"/>
        <v>1</v>
      </c>
      <c r="O45" s="13"/>
      <c r="P45" s="7" t="s">
        <v>83</v>
      </c>
    </row>
    <row r="46" spans="1:16" s="7" customFormat="1" ht="23.1" customHeight="1" thickBot="1" x14ac:dyDescent="0.35">
      <c r="A46" s="4"/>
      <c r="B46" s="4"/>
      <c r="C46" s="4"/>
      <c r="D46" s="4" t="s">
        <v>42</v>
      </c>
      <c r="E46" s="4"/>
      <c r="F46" s="4"/>
      <c r="G46" s="15">
        <f>ROUND(G32+G37+SUM(G44:G45),5)</f>
        <v>220.5</v>
      </c>
      <c r="H46" s="8"/>
      <c r="I46" s="15">
        <f>ROUND(I32+I37+SUM(I44:I45),5)</f>
        <v>5504.77</v>
      </c>
      <c r="J46" s="8"/>
      <c r="K46" s="15">
        <f t="shared" si="4"/>
        <v>-5284.27</v>
      </c>
      <c r="L46" s="9"/>
      <c r="M46" s="16">
        <f t="shared" si="5"/>
        <v>-0.95994000000000002</v>
      </c>
      <c r="O46" s="15">
        <f>ROUND(O32+O37+SUM(O44:O45),5)</f>
        <v>0</v>
      </c>
    </row>
    <row r="47" spans="1:16" s="7" customFormat="1" ht="23.1" customHeight="1" x14ac:dyDescent="0.3">
      <c r="A47" s="4"/>
      <c r="B47" s="4"/>
      <c r="C47" s="4" t="s">
        <v>43</v>
      </c>
      <c r="D47" s="4"/>
      <c r="E47" s="4"/>
      <c r="F47" s="4"/>
      <c r="G47" s="8">
        <f>ROUND(SUM(G19:G20)+G31+G46,5)</f>
        <v>16174.94</v>
      </c>
      <c r="H47" s="8"/>
      <c r="I47" s="8">
        <f>ROUND(SUM(I19:I20)+I31+I46,5)</f>
        <v>16698.52</v>
      </c>
      <c r="J47" s="8"/>
      <c r="K47" s="8">
        <f t="shared" si="4"/>
        <v>-523.58000000000004</v>
      </c>
      <c r="L47" s="9"/>
      <c r="M47" s="10">
        <f t="shared" si="5"/>
        <v>-3.1350000000000003E-2</v>
      </c>
      <c r="O47" s="8">
        <f>ROUND(SUM(O19:O20)+O31+O46,5)</f>
        <v>15000</v>
      </c>
      <c r="P47" s="7" t="s">
        <v>100</v>
      </c>
    </row>
    <row r="48" spans="1:16" s="7" customFormat="1" ht="23.1" hidden="1" customHeight="1" x14ac:dyDescent="0.3">
      <c r="A48" s="4"/>
      <c r="B48" s="4"/>
      <c r="C48" s="4" t="s">
        <v>44</v>
      </c>
      <c r="D48" s="4"/>
      <c r="E48" s="4"/>
      <c r="F48" s="4"/>
      <c r="G48" s="8"/>
      <c r="H48" s="8"/>
      <c r="I48" s="8"/>
      <c r="J48" s="8"/>
      <c r="K48" s="8"/>
      <c r="L48" s="9"/>
      <c r="M48" s="10"/>
      <c r="O48" s="8"/>
    </row>
    <row r="49" spans="1:16" s="7" customFormat="1" ht="23.1" hidden="1" customHeight="1" thickBot="1" x14ac:dyDescent="0.35">
      <c r="A49" s="4"/>
      <c r="B49" s="4"/>
      <c r="C49" s="4"/>
      <c r="D49" s="4" t="s">
        <v>4</v>
      </c>
      <c r="E49" s="4"/>
      <c r="F49" s="4"/>
      <c r="G49" s="11">
        <v>1870.56</v>
      </c>
      <c r="H49" s="8"/>
      <c r="I49" s="11">
        <v>4116.96</v>
      </c>
      <c r="J49" s="8"/>
      <c r="K49" s="11">
        <f>ROUND((G49-I49),5)</f>
        <v>-2246.4</v>
      </c>
      <c r="L49" s="9"/>
      <c r="M49" s="12">
        <f>ROUND(IF(G49=0, IF(I49=0, 0, SIGN(-I49)), IF(I49=0, SIGN(G49), (G49-I49)/ABS(I49))),5)</f>
        <v>-0.54564999999999997</v>
      </c>
      <c r="O49" s="11">
        <v>4000</v>
      </c>
      <c r="P49" s="7" t="s">
        <v>91</v>
      </c>
    </row>
    <row r="50" spans="1:16" s="7" customFormat="1" ht="18.75" x14ac:dyDescent="0.3">
      <c r="A50" s="4"/>
      <c r="B50" s="4"/>
      <c r="C50" s="4" t="s">
        <v>45</v>
      </c>
      <c r="D50" s="4"/>
      <c r="E50" s="4"/>
      <c r="F50" s="4"/>
      <c r="G50" s="8">
        <f>ROUND(SUM(G48:G49),5)</f>
        <v>1870.56</v>
      </c>
      <c r="H50" s="8"/>
      <c r="I50" s="8">
        <f>ROUND(SUM(I48:I49),5)</f>
        <v>4116.96</v>
      </c>
      <c r="J50" s="8"/>
      <c r="K50" s="8">
        <f>ROUND((G50-I50),5)</f>
        <v>-2246.4</v>
      </c>
      <c r="L50" s="9"/>
      <c r="M50" s="10">
        <f>ROUND(IF(G50=0, IF(I50=0, 0, SIGN(-I50)), IF(I50=0, SIGN(G50), (G50-I50)/ABS(I50))),5)</f>
        <v>-0.54564999999999997</v>
      </c>
      <c r="O50" s="8">
        <f>ROUND(SUM(O48:O49),5)</f>
        <v>4000</v>
      </c>
      <c r="P50" s="26"/>
    </row>
    <row r="51" spans="1:16" s="7" customFormat="1" ht="23.1" hidden="1" customHeight="1" x14ac:dyDescent="0.3">
      <c r="A51" s="4"/>
      <c r="B51" s="4"/>
      <c r="C51" s="4" t="s">
        <v>46</v>
      </c>
      <c r="D51" s="4"/>
      <c r="E51" s="4"/>
      <c r="F51" s="4"/>
      <c r="G51" s="8"/>
      <c r="H51" s="8"/>
      <c r="I51" s="8"/>
      <c r="J51" s="8"/>
      <c r="K51" s="8"/>
      <c r="L51" s="9"/>
      <c r="M51" s="10"/>
      <c r="O51" s="8"/>
    </row>
    <row r="52" spans="1:16" s="7" customFormat="1" ht="23.1" hidden="1" customHeight="1" thickBot="1" x14ac:dyDescent="0.35">
      <c r="A52" s="4"/>
      <c r="B52" s="4"/>
      <c r="C52" s="4"/>
      <c r="D52" s="4" t="s">
        <v>4</v>
      </c>
      <c r="E52" s="4"/>
      <c r="F52" s="4"/>
      <c r="G52" s="11">
        <v>1322</v>
      </c>
      <c r="H52" s="8"/>
      <c r="I52" s="11">
        <v>1752</v>
      </c>
      <c r="J52" s="8"/>
      <c r="K52" s="11">
        <f>ROUND((G52-I52),5)</f>
        <v>-430</v>
      </c>
      <c r="L52" s="9"/>
      <c r="M52" s="12">
        <f>ROUND(IF(G52=0, IF(I52=0, 0, SIGN(-I52)), IF(I52=0, SIGN(G52), (G52-I52)/ABS(I52))),5)</f>
        <v>-0.24543000000000001</v>
      </c>
      <c r="O52" s="11">
        <v>1750</v>
      </c>
    </row>
    <row r="53" spans="1:16" s="7" customFormat="1" ht="23.1" customHeight="1" x14ac:dyDescent="0.3">
      <c r="A53" s="4"/>
      <c r="B53" s="4"/>
      <c r="C53" s="4" t="s">
        <v>47</v>
      </c>
      <c r="D53" s="4"/>
      <c r="E53" s="4"/>
      <c r="F53" s="4"/>
      <c r="G53" s="8">
        <f>ROUND(SUM(G51:G52),5)</f>
        <v>1322</v>
      </c>
      <c r="H53" s="8"/>
      <c r="I53" s="8">
        <f>ROUND(SUM(I51:I52),5)</f>
        <v>1752</v>
      </c>
      <c r="J53" s="8"/>
      <c r="K53" s="8">
        <f>ROUND((G53-I53),5)</f>
        <v>-430</v>
      </c>
      <c r="L53" s="9"/>
      <c r="M53" s="10">
        <f>ROUND(IF(G53=0, IF(I53=0, 0, SIGN(-I53)), IF(I53=0, SIGN(G53), (G53-I53)/ABS(I53))),5)</f>
        <v>-0.24543000000000001</v>
      </c>
      <c r="O53" s="8">
        <f>ROUND(SUM(O51:O52),5)</f>
        <v>1750</v>
      </c>
    </row>
    <row r="54" spans="1:16" s="7" customFormat="1" ht="23.1" customHeight="1" x14ac:dyDescent="0.3">
      <c r="A54" s="4"/>
      <c r="B54" s="4"/>
      <c r="C54" s="4" t="s">
        <v>48</v>
      </c>
      <c r="D54" s="4"/>
      <c r="E54" s="4"/>
      <c r="F54" s="4"/>
      <c r="G54" s="8">
        <v>2000</v>
      </c>
      <c r="H54" s="8"/>
      <c r="I54" s="8">
        <v>0</v>
      </c>
      <c r="J54" s="8"/>
      <c r="K54" s="8">
        <f>ROUND((G54-I54),5)</f>
        <v>2000</v>
      </c>
      <c r="L54" s="9"/>
      <c r="M54" s="10">
        <f>ROUND(IF(G54=0, IF(I54=0, 0, SIGN(-I54)), IF(I54=0, SIGN(G54), (G54-I54)/ABS(I54))),5)</f>
        <v>1</v>
      </c>
      <c r="O54" s="8"/>
    </row>
    <row r="55" spans="1:16" s="7" customFormat="1" ht="23.1" customHeight="1" x14ac:dyDescent="0.3">
      <c r="A55" s="4"/>
      <c r="B55" s="4"/>
      <c r="C55" s="4" t="s">
        <v>49</v>
      </c>
      <c r="D55" s="4"/>
      <c r="E55" s="4"/>
      <c r="F55" s="4"/>
      <c r="G55" s="8"/>
      <c r="H55" s="8"/>
      <c r="I55" s="8"/>
      <c r="J55" s="8"/>
      <c r="K55" s="8"/>
      <c r="L55" s="9"/>
      <c r="M55" s="10"/>
      <c r="O55" s="8"/>
    </row>
    <row r="56" spans="1:16" s="7" customFormat="1" ht="23.1" customHeight="1" x14ac:dyDescent="0.3">
      <c r="A56" s="4"/>
      <c r="B56" s="4"/>
      <c r="C56" s="4"/>
      <c r="D56" s="4" t="s">
        <v>6</v>
      </c>
      <c r="E56" s="4"/>
      <c r="F56" s="4"/>
      <c r="G56" s="8">
        <v>-21696</v>
      </c>
      <c r="H56" s="8"/>
      <c r="I56" s="8">
        <v>-20750.849999999999</v>
      </c>
      <c r="J56" s="8"/>
      <c r="K56" s="8">
        <f>ROUND((G56-I56),5)</f>
        <v>-945.15</v>
      </c>
      <c r="L56" s="9"/>
      <c r="M56" s="10">
        <f>ROUND(IF(G56=0, IF(I56=0, 0, SIGN(-I56)), IF(I56=0, SIGN(G56), (G56-I56)/ABS(I56))),5)</f>
        <v>-4.555E-2</v>
      </c>
      <c r="O56" s="8"/>
    </row>
    <row r="57" spans="1:16" s="7" customFormat="1" ht="23.1" customHeight="1" thickBot="1" x14ac:dyDescent="0.35">
      <c r="A57" s="4"/>
      <c r="B57" s="4"/>
      <c r="C57" s="4"/>
      <c r="D57" s="4" t="s">
        <v>4</v>
      </c>
      <c r="E57" s="4"/>
      <c r="F57" s="4"/>
      <c r="G57" s="11">
        <v>17409.5</v>
      </c>
      <c r="H57" s="8"/>
      <c r="I57" s="11">
        <v>27147.74</v>
      </c>
      <c r="J57" s="8"/>
      <c r="K57" s="11">
        <f>ROUND((G57-I57),5)</f>
        <v>-9738.24</v>
      </c>
      <c r="L57" s="9"/>
      <c r="M57" s="12">
        <f>ROUND(IF(G57=0, IF(I57=0, 0, SIGN(-I57)), IF(I57=0, SIGN(G57), (G57-I57)/ABS(I57))),5)</f>
        <v>-0.35870999999999997</v>
      </c>
      <c r="O57" s="11">
        <v>5000</v>
      </c>
    </row>
    <row r="58" spans="1:16" s="7" customFormat="1" ht="23.1" customHeight="1" thickBot="1" x14ac:dyDescent="0.35">
      <c r="A58" s="4"/>
      <c r="B58" s="4"/>
      <c r="C58" s="4" t="s">
        <v>50</v>
      </c>
      <c r="D58" s="4"/>
      <c r="E58" s="4"/>
      <c r="F58" s="4"/>
      <c r="G58" s="8">
        <f>ROUND(SUM(G55:G57),5)</f>
        <v>-4286.5</v>
      </c>
      <c r="H58" s="8"/>
      <c r="I58" s="8">
        <f>ROUND(SUM(I55:I57),5)</f>
        <v>6396.89</v>
      </c>
      <c r="J58" s="8"/>
      <c r="K58" s="8">
        <f>ROUND((G58-I58),5)</f>
        <v>-10683.39</v>
      </c>
      <c r="L58" s="9"/>
      <c r="M58" s="10">
        <f>ROUND(IF(G58=0, IF(I58=0, 0, SIGN(-I58)), IF(I58=0, SIGN(G58), (G58-I58)/ABS(I58))),5)</f>
        <v>-1.6700900000000001</v>
      </c>
      <c r="O58" s="8">
        <f>ROUND(SUM(O55:O57),5)</f>
        <v>5000</v>
      </c>
      <c r="P58" s="7" t="s">
        <v>87</v>
      </c>
    </row>
    <row r="59" spans="1:16" s="7" customFormat="1" ht="23.1" hidden="1" customHeight="1" x14ac:dyDescent="0.3">
      <c r="A59" s="4"/>
      <c r="B59" s="4"/>
      <c r="C59" s="4" t="s">
        <v>51</v>
      </c>
      <c r="D59" s="4"/>
      <c r="E59" s="4"/>
      <c r="F59" s="4"/>
      <c r="G59" s="8"/>
      <c r="H59" s="8"/>
      <c r="I59" s="8"/>
      <c r="J59" s="8"/>
      <c r="K59" s="8"/>
      <c r="L59" s="9"/>
      <c r="M59" s="10"/>
      <c r="O59" s="8"/>
    </row>
    <row r="60" spans="1:16" s="7" customFormat="1" ht="23.1" hidden="1" customHeight="1" x14ac:dyDescent="0.3">
      <c r="A60" s="4"/>
      <c r="B60" s="4"/>
      <c r="C60" s="4"/>
      <c r="D60" s="4" t="s">
        <v>6</v>
      </c>
      <c r="E60" s="4"/>
      <c r="F60" s="4"/>
      <c r="G60" s="8">
        <v>-36</v>
      </c>
      <c r="H60" s="8"/>
      <c r="I60" s="8">
        <v>-270</v>
      </c>
      <c r="J60" s="8"/>
      <c r="K60" s="8">
        <f>ROUND((G60-I60),5)</f>
        <v>234</v>
      </c>
      <c r="L60" s="9"/>
      <c r="M60" s="10">
        <f>ROUND(IF(G60=0, IF(I60=0, 0, SIGN(-I60)), IF(I60=0, SIGN(G60), (G60-I60)/ABS(I60))),5)</f>
        <v>0.86667000000000005</v>
      </c>
      <c r="O60" s="8"/>
    </row>
    <row r="61" spans="1:16" s="7" customFormat="1" ht="23.1" hidden="1" customHeight="1" thickBot="1" x14ac:dyDescent="0.35">
      <c r="A61" s="4"/>
      <c r="B61" s="4"/>
      <c r="C61" s="4"/>
      <c r="D61" s="4" t="s">
        <v>4</v>
      </c>
      <c r="E61" s="4"/>
      <c r="F61" s="4"/>
      <c r="G61" s="13">
        <v>0</v>
      </c>
      <c r="H61" s="8"/>
      <c r="I61" s="13">
        <v>205</v>
      </c>
      <c r="J61" s="8"/>
      <c r="K61" s="13">
        <f>ROUND((G61-I61),5)</f>
        <v>-205</v>
      </c>
      <c r="L61" s="9"/>
      <c r="M61" s="14">
        <f>ROUND(IF(G61=0, IF(I61=0, 0, SIGN(-I61)), IF(I61=0, SIGN(G61), (G61-I61)/ABS(I61))),5)</f>
        <v>-1</v>
      </c>
      <c r="O61" s="13">
        <v>200</v>
      </c>
    </row>
    <row r="62" spans="1:16" s="7" customFormat="1" ht="23.1" customHeight="1" thickBot="1" x14ac:dyDescent="0.35">
      <c r="A62" s="4"/>
      <c r="B62" s="4"/>
      <c r="C62" s="4" t="s">
        <v>52</v>
      </c>
      <c r="D62" s="4"/>
      <c r="E62" s="4"/>
      <c r="F62" s="4"/>
      <c r="G62" s="15">
        <f>ROUND(SUM(G59:G61),5)</f>
        <v>-36</v>
      </c>
      <c r="H62" s="8"/>
      <c r="I62" s="15">
        <f>ROUND(SUM(I59:I61),5)</f>
        <v>-65</v>
      </c>
      <c r="J62" s="8"/>
      <c r="K62" s="15">
        <f>ROUND((G62-I62),5)</f>
        <v>29</v>
      </c>
      <c r="L62" s="9"/>
      <c r="M62" s="16">
        <f>ROUND(IF(G62=0, IF(I62=0, 0, SIGN(-I62)), IF(I62=0, SIGN(G62), (G62-I62)/ABS(I62))),5)</f>
        <v>0.44614999999999999</v>
      </c>
      <c r="O62" s="15">
        <f>ROUND(SUM(O59:O61),5)</f>
        <v>200</v>
      </c>
    </row>
    <row r="63" spans="1:16" s="7" customFormat="1" ht="23.1" customHeight="1" x14ac:dyDescent="0.3">
      <c r="A63" s="4"/>
      <c r="B63" s="4" t="s">
        <v>53</v>
      </c>
      <c r="C63" s="4"/>
      <c r="D63" s="4"/>
      <c r="E63" s="4"/>
      <c r="F63" s="4"/>
      <c r="G63" s="8">
        <f>ROUND(G3+SUM(G7:G10)+SUM(G16:G18)+G47+G50+SUM(G53:G54)+G58+G62,5)</f>
        <v>54495</v>
      </c>
      <c r="H63" s="8"/>
      <c r="I63" s="8">
        <f>ROUND(I3+SUM(I7:I10)+SUM(I16:I18)+I47+I50+SUM(I53:I54)+I58+I62,5)</f>
        <v>67827.66</v>
      </c>
      <c r="J63" s="8"/>
      <c r="K63" s="8">
        <f>ROUND((G63-I63),5)</f>
        <v>-13332.66</v>
      </c>
      <c r="L63" s="9"/>
      <c r="M63" s="10">
        <f>ROUND(IF(G63=0, IF(I63=0, 0, SIGN(-I63)), IF(I63=0, SIGN(G63), (G63-I63)/ABS(I63))),5)</f>
        <v>-0.19656999999999999</v>
      </c>
      <c r="O63" s="8">
        <f>ROUND(O3+SUM(O7:O10)+SUM(O16:O18)+O47+O50+SUM(O53:O54)+O58+O62,5)</f>
        <v>60950</v>
      </c>
    </row>
    <row r="64" spans="1:16" s="7" customFormat="1" ht="23.1" customHeight="1" x14ac:dyDescent="0.3">
      <c r="A64" s="4"/>
      <c r="B64" s="4" t="s">
        <v>6</v>
      </c>
      <c r="C64" s="4"/>
      <c r="D64" s="4"/>
      <c r="E64" s="4"/>
      <c r="F64" s="4"/>
      <c r="G64" s="8"/>
      <c r="H64" s="8"/>
      <c r="I64" s="8"/>
      <c r="J64" s="8"/>
      <c r="K64" s="8"/>
      <c r="L64" s="9"/>
      <c r="M64" s="10"/>
      <c r="O64" s="8"/>
    </row>
    <row r="65" spans="1:16" s="7" customFormat="1" ht="23.1" customHeight="1" x14ac:dyDescent="0.3">
      <c r="A65" s="4"/>
      <c r="B65" s="4"/>
      <c r="C65" s="4" t="s">
        <v>54</v>
      </c>
      <c r="D65" s="4"/>
      <c r="E65" s="4"/>
      <c r="F65" s="4"/>
      <c r="G65" s="8">
        <v>1442.44</v>
      </c>
      <c r="H65" s="8"/>
      <c r="I65" s="8">
        <v>3512.25</v>
      </c>
      <c r="J65" s="8"/>
      <c r="K65" s="8">
        <f>ROUND((G65-I65),5)</f>
        <v>-2069.81</v>
      </c>
      <c r="L65" s="9"/>
      <c r="M65" s="10">
        <f>ROUND(IF(G65=0, IF(I65=0, 0, SIGN(-I65)), IF(I65=0, SIGN(G65), (G65-I65)/ABS(I65))),5)</f>
        <v>-0.58931</v>
      </c>
      <c r="O65" s="8">
        <v>4100</v>
      </c>
      <c r="P65" s="7" t="s">
        <v>98</v>
      </c>
    </row>
    <row r="66" spans="1:16" s="7" customFormat="1" ht="23.1" customHeight="1" x14ac:dyDescent="0.3">
      <c r="A66" s="4"/>
      <c r="B66" s="4"/>
      <c r="C66" s="4" t="s">
        <v>55</v>
      </c>
      <c r="D66" s="4"/>
      <c r="E66" s="4"/>
      <c r="F66" s="4"/>
      <c r="G66" s="8">
        <v>0</v>
      </c>
      <c r="H66" s="8"/>
      <c r="I66" s="8">
        <v>31802.32</v>
      </c>
      <c r="J66" s="8"/>
      <c r="K66" s="8">
        <f>ROUND((G66-I66),5)</f>
        <v>-31802.32</v>
      </c>
      <c r="L66" s="9"/>
      <c r="M66" s="10">
        <f>ROUND(IF(G66=0, IF(I66=0, 0, SIGN(-I66)), IF(I66=0, SIGN(G66), (G66-I66)/ABS(I66))),5)</f>
        <v>-1</v>
      </c>
      <c r="O66" s="8">
        <v>55000</v>
      </c>
    </row>
    <row r="67" spans="1:16" s="7" customFormat="1" ht="23.1" customHeight="1" x14ac:dyDescent="0.3">
      <c r="A67" s="4"/>
      <c r="B67" s="4"/>
      <c r="C67" s="4" t="s">
        <v>56</v>
      </c>
      <c r="D67" s="4"/>
      <c r="E67" s="4"/>
      <c r="F67" s="4"/>
      <c r="G67" s="8">
        <v>282.10000000000002</v>
      </c>
      <c r="H67" s="8"/>
      <c r="I67" s="8">
        <v>1950.66</v>
      </c>
      <c r="J67" s="8"/>
      <c r="K67" s="8">
        <f>ROUND((G67-I67),5)</f>
        <v>-1668.56</v>
      </c>
      <c r="L67" s="9"/>
      <c r="M67" s="10">
        <f>ROUND(IF(G67=0, IF(I67=0, 0, SIGN(-I67)), IF(I67=0, SIGN(G67), (G67-I67)/ABS(I67))),5)</f>
        <v>-0.85538000000000003</v>
      </c>
      <c r="O67" s="8">
        <v>2000</v>
      </c>
    </row>
    <row r="68" spans="1:16" s="7" customFormat="1" ht="23.1" customHeight="1" x14ac:dyDescent="0.3">
      <c r="A68" s="4"/>
      <c r="B68" s="4"/>
      <c r="C68" s="4" t="s">
        <v>57</v>
      </c>
      <c r="D68" s="4"/>
      <c r="E68" s="4"/>
      <c r="F68" s="4"/>
      <c r="G68" s="8">
        <v>0</v>
      </c>
      <c r="H68" s="8"/>
      <c r="I68" s="8">
        <v>2562.9299999999998</v>
      </c>
      <c r="J68" s="8"/>
      <c r="K68" s="8">
        <f>ROUND((G68-I68),5)</f>
        <v>-2562.9299999999998</v>
      </c>
      <c r="L68" s="9"/>
      <c r="M68" s="10">
        <f>ROUND(IF(G68=0, IF(I68=0, 0, SIGN(-I68)), IF(I68=0, SIGN(G68), (G68-I68)/ABS(I68))),5)</f>
        <v>-1</v>
      </c>
      <c r="O68" s="8">
        <v>2500</v>
      </c>
    </row>
    <row r="69" spans="1:16" s="7" customFormat="1" ht="23.1" customHeight="1" x14ac:dyDescent="0.3">
      <c r="A69" s="4"/>
      <c r="B69" s="4"/>
      <c r="C69" s="4" t="s">
        <v>58</v>
      </c>
      <c r="D69" s="4"/>
      <c r="E69" s="4"/>
      <c r="F69" s="4"/>
      <c r="G69" s="8">
        <v>5000</v>
      </c>
      <c r="H69" s="8"/>
      <c r="I69" s="8">
        <v>5000</v>
      </c>
      <c r="J69" s="8"/>
      <c r="K69" s="8">
        <f>ROUND((G69-I69),5)</f>
        <v>0</v>
      </c>
      <c r="L69" s="9"/>
      <c r="M69" s="10">
        <f>ROUND(IF(G69=0, IF(I69=0, 0, SIGN(-I69)), IF(I69=0, SIGN(G69), (G69-I69)/ABS(I69))),5)</f>
        <v>0</v>
      </c>
      <c r="O69" s="8">
        <v>5000</v>
      </c>
    </row>
    <row r="70" spans="1:16" s="7" customFormat="1" ht="18" hidden="1" customHeight="1" x14ac:dyDescent="0.3">
      <c r="A70" s="4"/>
      <c r="B70" s="4"/>
      <c r="C70" s="4" t="s">
        <v>59</v>
      </c>
      <c r="D70" s="4"/>
      <c r="E70" s="4"/>
      <c r="F70" s="4"/>
      <c r="G70" s="8"/>
      <c r="H70" s="8"/>
      <c r="I70" s="8"/>
      <c r="J70" s="8"/>
      <c r="K70" s="8"/>
      <c r="L70" s="9"/>
      <c r="M70" s="10"/>
      <c r="O70" s="8"/>
    </row>
    <row r="71" spans="1:16" s="7" customFormat="1" ht="18" hidden="1" customHeight="1" x14ac:dyDescent="0.3">
      <c r="A71" s="4"/>
      <c r="B71" s="4"/>
      <c r="C71" s="4"/>
      <c r="D71" s="4" t="s">
        <v>71</v>
      </c>
      <c r="E71" s="4"/>
      <c r="F71" s="4"/>
      <c r="G71" s="8">
        <v>0</v>
      </c>
      <c r="H71" s="8"/>
      <c r="I71" s="8">
        <v>216.81</v>
      </c>
      <c r="J71" s="8"/>
      <c r="K71" s="8">
        <f>ROUND((G71-I71),5)</f>
        <v>-216.81</v>
      </c>
      <c r="L71" s="9"/>
      <c r="M71" s="10">
        <f>ROUND(IF(G71=0, IF(I71=0, 0, SIGN(-I71)), IF(I71=0, SIGN(G71), (G71-I71)/ABS(I71))),5)</f>
        <v>-1</v>
      </c>
      <c r="O71" s="8">
        <f>250+200</f>
        <v>450</v>
      </c>
    </row>
    <row r="72" spans="1:16" s="7" customFormat="1" ht="19.5" thickBot="1" x14ac:dyDescent="0.35">
      <c r="A72" s="4"/>
      <c r="B72" s="4"/>
      <c r="C72" s="4"/>
      <c r="D72" s="4" t="s">
        <v>60</v>
      </c>
      <c r="E72" s="4"/>
      <c r="F72" s="4"/>
      <c r="G72" s="11">
        <v>0</v>
      </c>
      <c r="H72" s="8"/>
      <c r="I72" s="11">
        <v>-1093.47</v>
      </c>
      <c r="J72" s="8"/>
      <c r="K72" s="11">
        <f>ROUND((G72-I72),5)</f>
        <v>1093.47</v>
      </c>
      <c r="L72" s="9"/>
      <c r="M72" s="12">
        <f>ROUND(IF(G72=0, IF(I72=0, 0, SIGN(-I72)), IF(I72=0, SIGN(G72), (G72-I72)/ABS(I72))),5)</f>
        <v>1</v>
      </c>
      <c r="O72" s="11">
        <v>0</v>
      </c>
    </row>
    <row r="73" spans="1:16" s="7" customFormat="1" ht="23.1" customHeight="1" x14ac:dyDescent="0.3">
      <c r="A73" s="4"/>
      <c r="B73" s="4"/>
      <c r="C73" s="4" t="s">
        <v>61</v>
      </c>
      <c r="D73" s="4"/>
      <c r="E73" s="4"/>
      <c r="F73" s="4"/>
      <c r="G73" s="8">
        <f>ROUND(SUM(G70:G72),5)</f>
        <v>0</v>
      </c>
      <c r="H73" s="8"/>
      <c r="I73" s="8">
        <f>ROUND(SUM(I70:I72),5)</f>
        <v>-876.66</v>
      </c>
      <c r="J73" s="8"/>
      <c r="K73" s="8">
        <f>ROUND((G73-I73),5)</f>
        <v>876.66</v>
      </c>
      <c r="L73" s="9"/>
      <c r="M73" s="10">
        <f>ROUND(IF(G73=0, IF(I73=0, 0, SIGN(-I73)), IF(I73=0, SIGN(G73), (G73-I73)/ABS(I73))),5)</f>
        <v>1</v>
      </c>
      <c r="O73" s="8">
        <f>ROUND(SUM(O70:O72),5)</f>
        <v>450</v>
      </c>
    </row>
    <row r="74" spans="1:16" s="7" customFormat="1" ht="23.1" customHeight="1" x14ac:dyDescent="0.3">
      <c r="A74" s="4"/>
      <c r="B74" s="4"/>
      <c r="C74" s="4" t="s">
        <v>62</v>
      </c>
      <c r="D74" s="4"/>
      <c r="E74" s="4"/>
      <c r="F74" s="4"/>
      <c r="G74" s="8">
        <v>10000</v>
      </c>
      <c r="H74" s="8"/>
      <c r="I74" s="8">
        <v>5000</v>
      </c>
      <c r="J74" s="8"/>
      <c r="K74" s="8">
        <f>ROUND((G74-I74),5)</f>
        <v>5000</v>
      </c>
      <c r="L74" s="9"/>
      <c r="M74" s="10">
        <f>ROUND(IF(G74=0, IF(I74=0, 0, SIGN(-I74)), IF(I74=0, SIGN(G74), (G74-I74)/ABS(I74))),5)</f>
        <v>1</v>
      </c>
      <c r="O74" s="8">
        <v>10000</v>
      </c>
    </row>
    <row r="75" spans="1:16" s="7" customFormat="1" ht="23.1" customHeight="1" x14ac:dyDescent="0.3">
      <c r="A75" s="4"/>
      <c r="B75" s="4"/>
      <c r="C75" s="4" t="s">
        <v>63</v>
      </c>
      <c r="D75" s="4"/>
      <c r="E75" s="4"/>
      <c r="F75" s="4"/>
      <c r="G75" s="8"/>
      <c r="H75" s="8"/>
      <c r="I75" s="8"/>
      <c r="J75" s="8"/>
      <c r="K75" s="8"/>
      <c r="L75" s="9"/>
      <c r="M75" s="10"/>
      <c r="O75" s="8"/>
    </row>
    <row r="76" spans="1:16" s="7" customFormat="1" ht="23.1" customHeight="1" x14ac:dyDescent="0.3">
      <c r="A76" s="4"/>
      <c r="B76" s="4"/>
      <c r="C76" s="4"/>
      <c r="D76" s="4" t="s">
        <v>64</v>
      </c>
      <c r="E76" s="4"/>
      <c r="F76" s="4"/>
      <c r="G76" s="8">
        <v>0</v>
      </c>
      <c r="H76" s="8"/>
      <c r="I76" s="8">
        <v>1782.04</v>
      </c>
      <c r="J76" s="8"/>
      <c r="K76" s="8">
        <f>ROUND((G76-I76),5)</f>
        <v>-1782.04</v>
      </c>
      <c r="L76" s="9"/>
      <c r="M76" s="10">
        <f t="shared" ref="M76:M82" si="6">ROUND(IF(G76=0, IF(I76=0, 0, SIGN(-I76)), IF(I76=0, SIGN(G76), (G76-I76)/ABS(I76))),5)</f>
        <v>-1</v>
      </c>
      <c r="O76" s="8">
        <v>2000</v>
      </c>
    </row>
    <row r="77" spans="1:16" s="7" customFormat="1" ht="23.1" customHeight="1" x14ac:dyDescent="0.3">
      <c r="A77" s="4"/>
      <c r="B77" s="4"/>
      <c r="C77" s="4"/>
      <c r="D77" s="4" t="s">
        <v>65</v>
      </c>
      <c r="E77" s="4"/>
      <c r="F77" s="4"/>
      <c r="G77" s="8">
        <v>0</v>
      </c>
      <c r="H77" s="8"/>
      <c r="I77" s="8">
        <v>3000</v>
      </c>
      <c r="J77" s="8"/>
      <c r="K77" s="8">
        <f t="shared" ref="K77:K82" si="7">ROUND((G77-I77),5)</f>
        <v>-3000</v>
      </c>
      <c r="L77" s="9"/>
      <c r="M77" s="10">
        <f t="shared" si="6"/>
        <v>-1</v>
      </c>
      <c r="O77" s="8">
        <v>3000</v>
      </c>
    </row>
    <row r="78" spans="1:16" s="7" customFormat="1" ht="23.1" customHeight="1" thickBot="1" x14ac:dyDescent="0.35">
      <c r="A78" s="4"/>
      <c r="B78" s="4"/>
      <c r="C78" s="4"/>
      <c r="D78" s="4" t="s">
        <v>66</v>
      </c>
      <c r="E78" s="4"/>
      <c r="F78" s="4"/>
      <c r="G78" s="11">
        <v>0</v>
      </c>
      <c r="H78" s="8"/>
      <c r="I78" s="11">
        <v>1752.94</v>
      </c>
      <c r="J78" s="8"/>
      <c r="K78" s="11">
        <f t="shared" si="7"/>
        <v>-1752.94</v>
      </c>
      <c r="L78" s="9"/>
      <c r="M78" s="12">
        <f t="shared" si="6"/>
        <v>-1</v>
      </c>
      <c r="O78" s="11">
        <v>1800</v>
      </c>
    </row>
    <row r="79" spans="1:16" s="7" customFormat="1" ht="23.1" customHeight="1" x14ac:dyDescent="0.3">
      <c r="A79" s="4"/>
      <c r="B79" s="4"/>
      <c r="C79" s="4" t="s">
        <v>67</v>
      </c>
      <c r="D79" s="4"/>
      <c r="E79" s="4"/>
      <c r="F79" s="4"/>
      <c r="G79" s="8">
        <f>ROUND(SUM(G75:G78),5)</f>
        <v>0</v>
      </c>
      <c r="H79" s="8"/>
      <c r="I79" s="8">
        <f>ROUND(SUM(I75:I78),5)</f>
        <v>6534.98</v>
      </c>
      <c r="J79" s="8"/>
      <c r="K79" s="8">
        <f t="shared" si="7"/>
        <v>-6534.98</v>
      </c>
      <c r="L79" s="9"/>
      <c r="M79" s="10">
        <f t="shared" si="6"/>
        <v>-1</v>
      </c>
      <c r="O79" s="8">
        <f>ROUND(SUM(O75:O78),5)</f>
        <v>6800</v>
      </c>
    </row>
    <row r="80" spans="1:16" s="7" customFormat="1" ht="23.1" customHeight="1" thickBot="1" x14ac:dyDescent="0.35">
      <c r="A80" s="4"/>
      <c r="B80" s="4"/>
      <c r="C80" s="4" t="s">
        <v>68</v>
      </c>
      <c r="D80" s="4"/>
      <c r="E80" s="4"/>
      <c r="F80" s="4"/>
      <c r="G80" s="13">
        <v>1300</v>
      </c>
      <c r="H80" s="8"/>
      <c r="I80" s="13">
        <v>1457.46</v>
      </c>
      <c r="J80" s="8"/>
      <c r="K80" s="13">
        <f t="shared" si="7"/>
        <v>-157.46</v>
      </c>
      <c r="L80" s="9"/>
      <c r="M80" s="14">
        <f t="shared" si="6"/>
        <v>-0.10804</v>
      </c>
      <c r="O80" s="13">
        <v>5000</v>
      </c>
    </row>
    <row r="81" spans="1:15" s="7" customFormat="1" ht="23.1" customHeight="1" thickBot="1" x14ac:dyDescent="0.35">
      <c r="A81" s="4"/>
      <c r="B81" s="4" t="s">
        <v>69</v>
      </c>
      <c r="C81" s="4"/>
      <c r="D81" s="4"/>
      <c r="E81" s="4"/>
      <c r="F81" s="4"/>
      <c r="G81" s="17">
        <f>ROUND(SUM(G64:G69)+SUM(G73:G74)+SUM(G79:G80),5)</f>
        <v>18024.54</v>
      </c>
      <c r="H81" s="8"/>
      <c r="I81" s="17">
        <f>ROUND(SUM(I64:I69)+SUM(I73:I74)+SUM(I79:I80),5)</f>
        <v>56943.94</v>
      </c>
      <c r="J81" s="8"/>
      <c r="K81" s="17">
        <f t="shared" si="7"/>
        <v>-38919.4</v>
      </c>
      <c r="L81" s="9"/>
      <c r="M81" s="18">
        <f t="shared" si="6"/>
        <v>-0.68347000000000002</v>
      </c>
      <c r="O81" s="17">
        <f>ROUND(SUM(O64:O69)+SUM(O73:O74)+SUM(O79:O80),5)</f>
        <v>90850</v>
      </c>
    </row>
    <row r="82" spans="1:15" s="22" customFormat="1" ht="23.1" customHeight="1" thickBot="1" x14ac:dyDescent="0.35">
      <c r="A82" s="4" t="s">
        <v>70</v>
      </c>
      <c r="B82" s="4"/>
      <c r="C82" s="4"/>
      <c r="D82" s="4"/>
      <c r="E82" s="4"/>
      <c r="F82" s="4"/>
      <c r="G82" s="19">
        <f>ROUND(G63-G81,5)</f>
        <v>36470.46</v>
      </c>
      <c r="H82" s="20"/>
      <c r="I82" s="19">
        <f>ROUND(I63-I81,5)</f>
        <v>10883.72</v>
      </c>
      <c r="J82" s="20"/>
      <c r="K82" s="19">
        <f t="shared" si="7"/>
        <v>25586.74</v>
      </c>
      <c r="L82" s="4"/>
      <c r="M82" s="21">
        <f t="shared" si="6"/>
        <v>2.3509199999999999</v>
      </c>
      <c r="O82" s="19">
        <f>ROUND(O63-O81,5)</f>
        <v>-29900</v>
      </c>
    </row>
    <row r="83" spans="1:15" s="7" customFormat="1" ht="19.5" thickTop="1" x14ac:dyDescent="0.3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5"/>
      <c r="M83" s="25"/>
      <c r="O83" s="25"/>
    </row>
    <row r="84" spans="1:15" s="7" customFormat="1" ht="18.75" x14ac:dyDescent="0.3">
      <c r="A84" s="23"/>
      <c r="B84" s="23"/>
      <c r="C84" s="23"/>
      <c r="D84" s="23"/>
      <c r="E84" s="23"/>
      <c r="F84" s="23"/>
      <c r="G84" s="25"/>
      <c r="H84" s="25"/>
      <c r="I84" s="25"/>
      <c r="J84" s="25"/>
      <c r="K84" s="28" t="s">
        <v>93</v>
      </c>
      <c r="L84" s="28"/>
      <c r="M84" s="28"/>
      <c r="N84" s="29"/>
      <c r="O84" s="30"/>
    </row>
    <row r="85" spans="1:15" s="7" customFormat="1" ht="18.75" x14ac:dyDescent="0.3">
      <c r="A85" s="23"/>
      <c r="B85" s="23"/>
      <c r="C85" s="23"/>
      <c r="D85" s="23"/>
      <c r="E85" s="23"/>
      <c r="F85" s="23"/>
      <c r="G85" s="25"/>
      <c r="H85" s="25"/>
      <c r="I85" s="25"/>
      <c r="J85" s="25"/>
      <c r="K85" s="25" t="s">
        <v>94</v>
      </c>
      <c r="L85" s="25"/>
      <c r="M85" s="25"/>
      <c r="N85" s="27"/>
      <c r="O85" s="24">
        <v>62333.120000000003</v>
      </c>
    </row>
    <row r="86" spans="1:15" s="7" customFormat="1" ht="18.75" x14ac:dyDescent="0.3">
      <c r="A86" s="23"/>
      <c r="B86" s="23"/>
      <c r="C86" s="23"/>
      <c r="D86" s="23"/>
      <c r="E86" s="23"/>
      <c r="F86" s="23"/>
      <c r="G86" s="25"/>
      <c r="H86" s="25"/>
      <c r="I86" s="25"/>
      <c r="J86" s="25"/>
      <c r="K86" s="25" t="s">
        <v>95</v>
      </c>
      <c r="L86" s="25"/>
      <c r="M86" s="25"/>
      <c r="O86" s="24">
        <f>O87-O85</f>
        <v>36470.46</v>
      </c>
    </row>
    <row r="87" spans="1:15" ht="18.75" x14ac:dyDescent="0.3">
      <c r="K87" s="27" t="s">
        <v>97</v>
      </c>
      <c r="L87" s="25"/>
      <c r="M87" s="25"/>
      <c r="N87" s="7"/>
      <c r="O87" s="24">
        <v>98803.58</v>
      </c>
    </row>
    <row r="88" spans="1:15" x14ac:dyDescent="0.25">
      <c r="O88" s="31">
        <f>O86-G82</f>
        <v>0</v>
      </c>
    </row>
  </sheetData>
  <printOptions horizontalCentered="1"/>
  <pageMargins left="0.2" right="0.2" top="0.66" bottom="0.25" header="0.1" footer="0.3"/>
  <pageSetup scale="47" orientation="landscape" r:id="rId1"/>
  <headerFooter>
    <oddHeader>&amp;L&amp;"Times New Roman,Bold"&amp;14TREASURER REPORT&amp;C&amp;"Times New Roman,Bold"&amp;14 Tiger PAWS of Wheaton Warrenville South
 Profit &amp;&amp; Loss Prev Year Comparison
 July 2017 through June 2018</oddHeader>
    <oddFooter>&amp;R&amp;"Times New Roman,Bold"&amp;14&amp;D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">
    <pageSetUpPr fitToPage="1"/>
  </sheetPr>
  <dimension ref="A1:P88"/>
  <sheetViews>
    <sheetView topLeftCell="A62" workbookViewId="0">
      <selection activeCell="A23" sqref="A23"/>
    </sheetView>
  </sheetViews>
  <sheetFormatPr defaultColWidth="8.85546875" defaultRowHeight="15.75" x14ac:dyDescent="0.25"/>
  <cols>
    <col min="1" max="5" width="3" style="2" customWidth="1"/>
    <col min="6" max="6" width="49.42578125" style="2" customWidth="1"/>
    <col min="7" max="7" width="12.5703125" style="3" customWidth="1"/>
    <col min="8" max="8" width="2.42578125" style="3" customWidth="1"/>
    <col min="9" max="9" width="12.42578125" style="3" customWidth="1"/>
    <col min="10" max="10" width="2.42578125" style="3" customWidth="1"/>
    <col min="11" max="11" width="12.85546875" style="3" customWidth="1"/>
    <col min="12" max="12" width="2.42578125" style="3" customWidth="1"/>
    <col min="13" max="13" width="12.85546875" style="3" hidden="1" customWidth="1"/>
    <col min="14" max="14" width="4.85546875" style="1" customWidth="1"/>
    <col min="15" max="15" width="19.42578125" style="3" customWidth="1"/>
    <col min="16" max="16" width="79.140625" style="1" bestFit="1" customWidth="1"/>
    <col min="17" max="16384" width="8.85546875" style="1"/>
  </cols>
  <sheetData>
    <row r="1" spans="1:16" s="7" customFormat="1" ht="19.5" thickBot="1" x14ac:dyDescent="0.35">
      <c r="A1" s="4"/>
      <c r="B1" s="4"/>
      <c r="C1" s="4"/>
      <c r="D1" s="4"/>
      <c r="E1" s="4"/>
      <c r="F1" s="4"/>
      <c r="G1" s="5"/>
      <c r="H1" s="6"/>
      <c r="I1" s="5"/>
      <c r="J1" s="6"/>
      <c r="K1" s="5"/>
      <c r="L1" s="6"/>
      <c r="M1" s="5"/>
      <c r="O1" s="5"/>
    </row>
    <row r="2" spans="1:16" s="35" customFormat="1" ht="45.6" customHeight="1" thickTop="1" thickBot="1" x14ac:dyDescent="0.3">
      <c r="A2" s="32"/>
      <c r="B2" s="32"/>
      <c r="C2" s="32"/>
      <c r="D2" s="32"/>
      <c r="E2" s="32"/>
      <c r="F2" s="32"/>
      <c r="G2" s="33" t="s">
        <v>0</v>
      </c>
      <c r="H2" s="34"/>
      <c r="I2" s="33" t="s">
        <v>1</v>
      </c>
      <c r="J2" s="34"/>
      <c r="K2" s="33" t="s">
        <v>2</v>
      </c>
      <c r="L2" s="34"/>
      <c r="M2" s="33" t="s">
        <v>3</v>
      </c>
      <c r="O2" s="33" t="s">
        <v>72</v>
      </c>
      <c r="P2" s="36" t="s">
        <v>73</v>
      </c>
    </row>
    <row r="3" spans="1:16" s="7" customFormat="1" ht="23.1" customHeight="1" thickTop="1" x14ac:dyDescent="0.3">
      <c r="A3" s="4"/>
      <c r="B3" s="4" t="s">
        <v>4</v>
      </c>
      <c r="C3" s="4"/>
      <c r="D3" s="4"/>
      <c r="E3" s="4"/>
      <c r="F3" s="4"/>
      <c r="G3" s="8"/>
      <c r="H3" s="8"/>
      <c r="I3" s="8"/>
      <c r="J3" s="8"/>
      <c r="K3" s="8"/>
      <c r="L3" s="9"/>
      <c r="M3" s="10"/>
      <c r="O3" s="8"/>
    </row>
    <row r="4" spans="1:16" s="7" customFormat="1" ht="23.1" hidden="1" customHeight="1" x14ac:dyDescent="0.3">
      <c r="A4" s="4"/>
      <c r="B4" s="4"/>
      <c r="C4" s="4" t="s">
        <v>5</v>
      </c>
      <c r="D4" s="4"/>
      <c r="E4" s="4"/>
      <c r="F4" s="4"/>
      <c r="G4" s="8"/>
      <c r="H4" s="8"/>
      <c r="I4" s="8"/>
      <c r="J4" s="8"/>
      <c r="K4" s="8"/>
      <c r="L4" s="9"/>
      <c r="M4" s="10"/>
      <c r="O4" s="8"/>
    </row>
    <row r="5" spans="1:16" s="7" customFormat="1" ht="23.1" hidden="1" customHeight="1" x14ac:dyDescent="0.3">
      <c r="A5" s="4"/>
      <c r="B5" s="4"/>
      <c r="C5" s="4"/>
      <c r="D5" s="4" t="s">
        <v>6</v>
      </c>
      <c r="E5" s="4"/>
      <c r="F5" s="4"/>
      <c r="G5" s="8">
        <v>-879.47</v>
      </c>
      <c r="H5" s="8"/>
      <c r="I5" s="8">
        <v>-1034.24</v>
      </c>
      <c r="J5" s="8"/>
      <c r="K5" s="8">
        <f t="shared" ref="K5:K10" si="0">ROUND((G5-I5),5)</f>
        <v>154.77000000000001</v>
      </c>
      <c r="L5" s="9"/>
      <c r="M5" s="10">
        <f t="shared" ref="M5:M10" si="1">ROUND(IF(G5=0, IF(I5=0, 0, SIGN(-I5)), IF(I5=0, SIGN(G5), (G5-I5)/ABS(I5))),5)</f>
        <v>0.14965000000000001</v>
      </c>
      <c r="O5" s="8"/>
    </row>
    <row r="6" spans="1:16" s="7" customFormat="1" ht="23.1" hidden="1" customHeight="1" thickBot="1" x14ac:dyDescent="0.35">
      <c r="A6" s="4"/>
      <c r="B6" s="4"/>
      <c r="C6" s="4"/>
      <c r="D6" s="4" t="s">
        <v>4</v>
      </c>
      <c r="E6" s="4"/>
      <c r="F6" s="4"/>
      <c r="G6" s="11">
        <v>7800</v>
      </c>
      <c r="H6" s="8"/>
      <c r="I6" s="11">
        <v>7823</v>
      </c>
      <c r="J6" s="8"/>
      <c r="K6" s="11">
        <f t="shared" si="0"/>
        <v>-23</v>
      </c>
      <c r="L6" s="9"/>
      <c r="M6" s="12">
        <f t="shared" si="1"/>
        <v>-2.9399999999999999E-3</v>
      </c>
      <c r="O6" s="11"/>
    </row>
    <row r="7" spans="1:16" s="7" customFormat="1" ht="23.1" customHeight="1" x14ac:dyDescent="0.3">
      <c r="A7" s="4"/>
      <c r="B7" s="4"/>
      <c r="C7" s="4" t="s">
        <v>7</v>
      </c>
      <c r="D7" s="4"/>
      <c r="E7" s="4"/>
      <c r="F7" s="4"/>
      <c r="G7" s="8">
        <f>ROUND(SUM(G4:G6),5)</f>
        <v>6920.53</v>
      </c>
      <c r="H7" s="8"/>
      <c r="I7" s="8">
        <f>ROUND(SUM(I4:I6),5)</f>
        <v>6788.76</v>
      </c>
      <c r="J7" s="8"/>
      <c r="K7" s="8">
        <f t="shared" si="0"/>
        <v>131.77000000000001</v>
      </c>
      <c r="L7" s="9"/>
      <c r="M7" s="10">
        <f t="shared" si="1"/>
        <v>1.941E-2</v>
      </c>
      <c r="O7" s="8">
        <v>10000</v>
      </c>
      <c r="P7" s="7" t="s">
        <v>74</v>
      </c>
    </row>
    <row r="8" spans="1:16" s="7" customFormat="1" ht="23.1" customHeight="1" x14ac:dyDescent="0.3">
      <c r="A8" s="4"/>
      <c r="B8" s="4"/>
      <c r="C8" s="4" t="s">
        <v>8</v>
      </c>
      <c r="D8" s="4"/>
      <c r="E8" s="4"/>
      <c r="F8" s="4"/>
      <c r="G8" s="8">
        <v>0</v>
      </c>
      <c r="H8" s="8"/>
      <c r="I8" s="8">
        <v>3508.57</v>
      </c>
      <c r="J8" s="8"/>
      <c r="K8" s="8">
        <f t="shared" si="0"/>
        <v>-3508.57</v>
      </c>
      <c r="L8" s="9"/>
      <c r="M8" s="10">
        <f t="shared" si="1"/>
        <v>-1</v>
      </c>
      <c r="O8" s="8">
        <v>0</v>
      </c>
    </row>
    <row r="9" spans="1:16" s="7" customFormat="1" ht="23.1" customHeight="1" x14ac:dyDescent="0.3">
      <c r="A9" s="4"/>
      <c r="B9" s="4"/>
      <c r="C9" s="4" t="s">
        <v>9</v>
      </c>
      <c r="D9" s="4"/>
      <c r="E9" s="4"/>
      <c r="F9" s="4"/>
      <c r="G9" s="8">
        <v>0</v>
      </c>
      <c r="H9" s="8"/>
      <c r="I9" s="8">
        <v>8260.84</v>
      </c>
      <c r="J9" s="8"/>
      <c r="K9" s="8">
        <f t="shared" si="0"/>
        <v>-8260.84</v>
      </c>
      <c r="L9" s="9"/>
      <c r="M9" s="10">
        <f t="shared" si="1"/>
        <v>-1</v>
      </c>
      <c r="O9" s="8">
        <v>10000</v>
      </c>
      <c r="P9" s="7" t="s">
        <v>75</v>
      </c>
    </row>
    <row r="10" spans="1:16" s="7" customFormat="1" ht="23.1" customHeight="1" x14ac:dyDescent="0.3">
      <c r="A10" s="4"/>
      <c r="B10" s="4"/>
      <c r="C10" s="4" t="s">
        <v>10</v>
      </c>
      <c r="D10" s="4"/>
      <c r="E10" s="4"/>
      <c r="F10" s="4"/>
      <c r="G10" s="8">
        <v>3.54</v>
      </c>
      <c r="H10" s="8"/>
      <c r="I10" s="8">
        <v>29.02</v>
      </c>
      <c r="J10" s="8"/>
      <c r="K10" s="8">
        <f t="shared" si="0"/>
        <v>-25.48</v>
      </c>
      <c r="L10" s="9"/>
      <c r="M10" s="10">
        <f t="shared" si="1"/>
        <v>-0.87802000000000002</v>
      </c>
      <c r="O10" s="8"/>
    </row>
    <row r="11" spans="1:16" s="7" customFormat="1" ht="23.1" hidden="1" customHeight="1" x14ac:dyDescent="0.3">
      <c r="A11" s="4"/>
      <c r="B11" s="4"/>
      <c r="C11" s="4" t="s">
        <v>11</v>
      </c>
      <c r="D11" s="4"/>
      <c r="E11" s="4"/>
      <c r="F11" s="4"/>
      <c r="G11" s="8"/>
      <c r="H11" s="8"/>
      <c r="I11" s="8"/>
      <c r="J11" s="8"/>
      <c r="K11" s="8"/>
      <c r="L11" s="9"/>
      <c r="M11" s="10"/>
      <c r="O11" s="8"/>
    </row>
    <row r="12" spans="1:16" s="7" customFormat="1" ht="23.1" hidden="1" customHeight="1" x14ac:dyDescent="0.3">
      <c r="A12" s="4"/>
      <c r="B12" s="4"/>
      <c r="C12" s="4"/>
      <c r="D12" s="4" t="s">
        <v>6</v>
      </c>
      <c r="E12" s="4"/>
      <c r="F12" s="4"/>
      <c r="G12" s="8">
        <v>0</v>
      </c>
      <c r="H12" s="8"/>
      <c r="I12" s="8">
        <v>-485.32</v>
      </c>
      <c r="J12" s="8"/>
      <c r="K12" s="8">
        <f t="shared" ref="K12:K18" si="2">ROUND((G12-I12),5)</f>
        <v>485.32</v>
      </c>
      <c r="L12" s="9"/>
      <c r="M12" s="10">
        <f t="shared" ref="M12:M18" si="3">ROUND(IF(G12=0, IF(I12=0, 0, SIGN(-I12)), IF(I12=0, SIGN(G12), (G12-I12)/ABS(I12))),5)</f>
        <v>1</v>
      </c>
      <c r="O12" s="8">
        <v>0</v>
      </c>
    </row>
    <row r="13" spans="1:16" s="7" customFormat="1" ht="23.1" hidden="1" customHeight="1" x14ac:dyDescent="0.3">
      <c r="A13" s="4"/>
      <c r="B13" s="4"/>
      <c r="C13" s="4"/>
      <c r="D13" s="4" t="s">
        <v>4</v>
      </c>
      <c r="E13" s="4"/>
      <c r="F13" s="4"/>
      <c r="G13" s="8">
        <v>13383.61</v>
      </c>
      <c r="H13" s="8"/>
      <c r="I13" s="8">
        <v>29767.93</v>
      </c>
      <c r="J13" s="8"/>
      <c r="K13" s="8">
        <f t="shared" si="2"/>
        <v>-16384.32</v>
      </c>
      <c r="L13" s="9"/>
      <c r="M13" s="10">
        <f t="shared" si="3"/>
        <v>-0.5504</v>
      </c>
      <c r="O13" s="8">
        <v>15000</v>
      </c>
    </row>
    <row r="14" spans="1:16" s="7" customFormat="1" ht="23.1" hidden="1" customHeight="1" x14ac:dyDescent="0.3">
      <c r="A14" s="4"/>
      <c r="B14" s="4"/>
      <c r="C14" s="4"/>
      <c r="D14" s="4" t="s">
        <v>12</v>
      </c>
      <c r="E14" s="4"/>
      <c r="F14" s="4"/>
      <c r="G14" s="8">
        <v>0</v>
      </c>
      <c r="H14" s="8"/>
      <c r="I14" s="8">
        <v>-10441.51</v>
      </c>
      <c r="J14" s="8"/>
      <c r="K14" s="8">
        <f t="shared" si="2"/>
        <v>10441.51</v>
      </c>
      <c r="L14" s="9"/>
      <c r="M14" s="10">
        <f t="shared" si="3"/>
        <v>1</v>
      </c>
      <c r="O14" s="8">
        <v>0</v>
      </c>
    </row>
    <row r="15" spans="1:16" s="7" customFormat="1" ht="23.1" hidden="1" customHeight="1" thickBot="1" x14ac:dyDescent="0.35">
      <c r="A15" s="4"/>
      <c r="B15" s="4"/>
      <c r="C15" s="4"/>
      <c r="D15" s="4" t="s">
        <v>13</v>
      </c>
      <c r="E15" s="4"/>
      <c r="F15" s="4"/>
      <c r="G15" s="11">
        <v>10790</v>
      </c>
      <c r="H15" s="8"/>
      <c r="I15" s="11">
        <v>0</v>
      </c>
      <c r="J15" s="8"/>
      <c r="K15" s="11">
        <f t="shared" si="2"/>
        <v>10790</v>
      </c>
      <c r="L15" s="9"/>
      <c r="M15" s="12">
        <f t="shared" si="3"/>
        <v>1</v>
      </c>
      <c r="O15" s="11">
        <v>0</v>
      </c>
    </row>
    <row r="16" spans="1:16" s="7" customFormat="1" ht="23.1" customHeight="1" x14ac:dyDescent="0.3">
      <c r="A16" s="4"/>
      <c r="B16" s="4"/>
      <c r="C16" s="4" t="s">
        <v>14</v>
      </c>
      <c r="D16" s="4"/>
      <c r="E16" s="4"/>
      <c r="F16" s="4"/>
      <c r="G16" s="8">
        <f>ROUND(SUM(G11:G15),5)</f>
        <v>24173.61</v>
      </c>
      <c r="H16" s="8"/>
      <c r="I16" s="8">
        <f>ROUND(SUM(I11:I15),5)</f>
        <v>18841.099999999999</v>
      </c>
      <c r="J16" s="8"/>
      <c r="K16" s="8">
        <f t="shared" si="2"/>
        <v>5332.51</v>
      </c>
      <c r="L16" s="9"/>
      <c r="M16" s="10">
        <f t="shared" si="3"/>
        <v>0.28303</v>
      </c>
      <c r="O16" s="8">
        <f>ROUND(SUM(O11:O15),5)</f>
        <v>15000</v>
      </c>
      <c r="P16" s="7" t="s">
        <v>76</v>
      </c>
    </row>
    <row r="17" spans="1:16" s="7" customFormat="1" ht="23.1" customHeight="1" x14ac:dyDescent="0.3">
      <c r="A17" s="4"/>
      <c r="B17" s="4"/>
      <c r="C17" s="4" t="s">
        <v>15</v>
      </c>
      <c r="D17" s="4"/>
      <c r="E17" s="4"/>
      <c r="F17" s="4"/>
      <c r="G17" s="8">
        <v>1601.25</v>
      </c>
      <c r="H17" s="8"/>
      <c r="I17" s="8">
        <v>1250</v>
      </c>
      <c r="J17" s="8"/>
      <c r="K17" s="8">
        <f t="shared" si="2"/>
        <v>351.25</v>
      </c>
      <c r="L17" s="9"/>
      <c r="M17" s="10">
        <f t="shared" si="3"/>
        <v>0.28100000000000003</v>
      </c>
      <c r="O17" s="8"/>
      <c r="P17" s="7" t="s">
        <v>77</v>
      </c>
    </row>
    <row r="18" spans="1:16" s="7" customFormat="1" ht="23.1" customHeight="1" x14ac:dyDescent="0.3">
      <c r="A18" s="4"/>
      <c r="B18" s="4"/>
      <c r="C18" s="4" t="s">
        <v>16</v>
      </c>
      <c r="D18" s="4"/>
      <c r="E18" s="4"/>
      <c r="F18" s="4"/>
      <c r="G18" s="8">
        <v>500</v>
      </c>
      <c r="H18" s="8"/>
      <c r="I18" s="8">
        <v>250</v>
      </c>
      <c r="J18" s="8"/>
      <c r="K18" s="8">
        <f t="shared" si="2"/>
        <v>250</v>
      </c>
      <c r="L18" s="9"/>
      <c r="M18" s="10">
        <f t="shared" si="3"/>
        <v>1</v>
      </c>
      <c r="O18" s="8"/>
      <c r="P18" s="7" t="s">
        <v>78</v>
      </c>
    </row>
    <row r="19" spans="1:16" s="7" customFormat="1" ht="23.1" customHeight="1" x14ac:dyDescent="0.3">
      <c r="A19" s="4"/>
      <c r="B19" s="4"/>
      <c r="C19" s="4" t="s">
        <v>17</v>
      </c>
      <c r="D19" s="4"/>
      <c r="E19" s="4"/>
      <c r="F19" s="4"/>
      <c r="G19" s="8"/>
      <c r="H19" s="8"/>
      <c r="I19" s="8"/>
      <c r="J19" s="8"/>
      <c r="K19" s="8"/>
      <c r="L19" s="9"/>
      <c r="M19" s="10"/>
      <c r="O19" s="8"/>
    </row>
    <row r="20" spans="1:16" s="7" customFormat="1" ht="23.1" customHeight="1" x14ac:dyDescent="0.3">
      <c r="A20" s="4"/>
      <c r="B20" s="4"/>
      <c r="C20" s="4"/>
      <c r="D20" s="4" t="s">
        <v>18</v>
      </c>
      <c r="E20" s="4"/>
      <c r="F20" s="4"/>
      <c r="G20" s="8">
        <v>-418</v>
      </c>
      <c r="H20" s="8"/>
      <c r="I20" s="8">
        <v>-1995.69</v>
      </c>
      <c r="J20" s="8"/>
      <c r="K20" s="8">
        <f>ROUND((G20-I20),5)</f>
        <v>1577.69</v>
      </c>
      <c r="L20" s="9"/>
      <c r="M20" s="10">
        <f>ROUND(IF(G20=0, IF(I20=0, 0, SIGN(-I20)), IF(I20=0, SIGN(G20), (G20-I20)/ABS(I20))),5)</f>
        <v>0.79054999999999997</v>
      </c>
      <c r="O20" s="8">
        <v>15000</v>
      </c>
      <c r="P20" s="7" t="s">
        <v>79</v>
      </c>
    </row>
    <row r="21" spans="1:16" s="7" customFormat="1" ht="23.1" hidden="1" customHeight="1" x14ac:dyDescent="0.3">
      <c r="A21" s="4"/>
      <c r="B21" s="4"/>
      <c r="C21" s="4"/>
      <c r="D21" s="4" t="s">
        <v>19</v>
      </c>
      <c r="E21" s="4"/>
      <c r="F21" s="4"/>
      <c r="G21" s="8"/>
      <c r="H21" s="8"/>
      <c r="I21" s="8"/>
      <c r="J21" s="8"/>
      <c r="K21" s="8"/>
      <c r="L21" s="9"/>
      <c r="M21" s="10"/>
      <c r="O21" s="8"/>
    </row>
    <row r="22" spans="1:16" s="7" customFormat="1" ht="23.1" customHeight="1" x14ac:dyDescent="0.3">
      <c r="A22" s="4"/>
      <c r="B22" s="4"/>
      <c r="C22" s="4"/>
      <c r="D22" s="4"/>
      <c r="E22" s="4" t="s">
        <v>20</v>
      </c>
      <c r="F22" s="4"/>
      <c r="G22" s="8"/>
      <c r="H22" s="8"/>
      <c r="I22" s="8"/>
      <c r="J22" s="8"/>
      <c r="K22" s="8"/>
      <c r="L22" s="9"/>
      <c r="M22" s="10"/>
      <c r="O22" s="8"/>
    </row>
    <row r="23" spans="1:16" s="7" customFormat="1" ht="23.1" customHeight="1" x14ac:dyDescent="0.3">
      <c r="A23" s="4"/>
      <c r="B23" s="4"/>
      <c r="C23" s="4"/>
      <c r="D23" s="4"/>
      <c r="E23" s="4"/>
      <c r="F23" s="4" t="s">
        <v>21</v>
      </c>
      <c r="G23" s="8">
        <v>-7009.7</v>
      </c>
      <c r="H23" s="8"/>
      <c r="I23" s="8">
        <v>-11131.87</v>
      </c>
      <c r="J23" s="8"/>
      <c r="K23" s="8">
        <f>ROUND((G23-I23),5)</f>
        <v>4122.17</v>
      </c>
      <c r="L23" s="9"/>
      <c r="M23" s="10">
        <f>ROUND(IF(G23=0, IF(I23=0, 0, SIGN(-I23)), IF(I23=0, SIGN(G23), (G23-I23)/ABS(I23))),5)</f>
        <v>0.37030000000000002</v>
      </c>
      <c r="O23" s="8"/>
      <c r="P23" s="7" t="s">
        <v>81</v>
      </c>
    </row>
    <row r="24" spans="1:16" s="7" customFormat="1" ht="23.1" customHeight="1" thickBot="1" x14ac:dyDescent="0.35">
      <c r="A24" s="4"/>
      <c r="B24" s="4"/>
      <c r="C24" s="4"/>
      <c r="D24" s="4"/>
      <c r="E24" s="4"/>
      <c r="F24" s="4" t="s">
        <v>22</v>
      </c>
      <c r="G24" s="11">
        <v>16295.9</v>
      </c>
      <c r="H24" s="8"/>
      <c r="I24" s="11">
        <v>23556.31</v>
      </c>
      <c r="J24" s="8"/>
      <c r="K24" s="11">
        <f>ROUND((G24-I24),5)</f>
        <v>-7260.41</v>
      </c>
      <c r="L24" s="9"/>
      <c r="M24" s="12">
        <f>ROUND(IF(G24=0, IF(I24=0, 0, SIGN(-I24)), IF(I24=0, SIGN(G24), (G24-I24)/ABS(I24))),5)</f>
        <v>-0.30821999999999999</v>
      </c>
      <c r="O24" s="11"/>
      <c r="P24" s="7" t="s">
        <v>80</v>
      </c>
    </row>
    <row r="25" spans="1:16" s="7" customFormat="1" ht="23.1" customHeight="1" x14ac:dyDescent="0.3">
      <c r="A25" s="4"/>
      <c r="B25" s="4"/>
      <c r="C25" s="4"/>
      <c r="D25" s="4"/>
      <c r="E25" s="4" t="s">
        <v>23</v>
      </c>
      <c r="F25" s="4"/>
      <c r="G25" s="8">
        <f>ROUND(SUM(G22:G24),5)</f>
        <v>9286.2000000000007</v>
      </c>
      <c r="H25" s="8"/>
      <c r="I25" s="8">
        <f>ROUND(SUM(I22:I24),5)</f>
        <v>12424.44</v>
      </c>
      <c r="J25" s="8"/>
      <c r="K25" s="8">
        <f>ROUND((G25-I25),5)</f>
        <v>-3138.24</v>
      </c>
      <c r="L25" s="9"/>
      <c r="M25" s="10">
        <f>ROUND(IF(G25=0, IF(I25=0, 0, SIGN(-I25)), IF(I25=0, SIGN(G25), (G25-I25)/ABS(I25))),5)</f>
        <v>-0.25258999999999998</v>
      </c>
      <c r="O25" s="8">
        <f>ROUND(SUM(O22:O24),5)</f>
        <v>0</v>
      </c>
      <c r="P25" s="7" t="s">
        <v>90</v>
      </c>
    </row>
    <row r="26" spans="1:16" s="7" customFormat="1" ht="23.1" hidden="1" customHeight="1" x14ac:dyDescent="0.3">
      <c r="A26" s="4"/>
      <c r="B26" s="4"/>
      <c r="C26" s="4"/>
      <c r="D26" s="4"/>
      <c r="E26" s="4" t="s">
        <v>24</v>
      </c>
      <c r="F26" s="4"/>
      <c r="G26" s="8"/>
      <c r="H26" s="8"/>
      <c r="I26" s="8"/>
      <c r="J26" s="8"/>
      <c r="K26" s="8"/>
      <c r="L26" s="9"/>
      <c r="M26" s="10"/>
      <c r="O26" s="8"/>
    </row>
    <row r="27" spans="1:16" s="7" customFormat="1" ht="23.1" hidden="1" customHeight="1" x14ac:dyDescent="0.3">
      <c r="A27" s="4"/>
      <c r="B27" s="4"/>
      <c r="C27" s="4"/>
      <c r="D27" s="4"/>
      <c r="E27" s="4"/>
      <c r="F27" s="4" t="s">
        <v>25</v>
      </c>
      <c r="G27" s="8">
        <v>0</v>
      </c>
      <c r="H27" s="8"/>
      <c r="I27" s="8">
        <v>-337.57</v>
      </c>
      <c r="J27" s="8"/>
      <c r="K27" s="8">
        <f>ROUND((G27-I27),5)</f>
        <v>337.57</v>
      </c>
      <c r="L27" s="9"/>
      <c r="M27" s="10">
        <f>ROUND(IF(G27=0, IF(I27=0, 0, SIGN(-I27)), IF(I27=0, SIGN(G27), (G27-I27)/ABS(I27))),5)</f>
        <v>1</v>
      </c>
      <c r="O27" s="8">
        <v>0</v>
      </c>
    </row>
    <row r="28" spans="1:16" s="7" customFormat="1" ht="23.1" hidden="1" customHeight="1" thickBot="1" x14ac:dyDescent="0.35">
      <c r="A28" s="4"/>
      <c r="B28" s="4"/>
      <c r="C28" s="4"/>
      <c r="D28" s="4"/>
      <c r="E28" s="4"/>
      <c r="F28" s="4" t="s">
        <v>26</v>
      </c>
      <c r="G28" s="11">
        <v>50</v>
      </c>
      <c r="H28" s="8"/>
      <c r="I28" s="11">
        <v>1102.57</v>
      </c>
      <c r="J28" s="8"/>
      <c r="K28" s="11">
        <f>ROUND((G28-I28),5)</f>
        <v>-1052.57</v>
      </c>
      <c r="L28" s="9"/>
      <c r="M28" s="12">
        <f>ROUND(IF(G28=0, IF(I28=0, 0, SIGN(-I28)), IF(I28=0, SIGN(G28), (G28-I28)/ABS(I28))),5)</f>
        <v>-0.95465</v>
      </c>
      <c r="O28" s="11"/>
    </row>
    <row r="29" spans="1:16" s="7" customFormat="1" ht="23.1" customHeight="1" x14ac:dyDescent="0.3">
      <c r="A29" s="4"/>
      <c r="B29" s="4"/>
      <c r="C29" s="4"/>
      <c r="D29" s="4"/>
      <c r="E29" s="4" t="s">
        <v>27</v>
      </c>
      <c r="F29" s="4"/>
      <c r="G29" s="8">
        <f>ROUND(SUM(G26:G28),5)</f>
        <v>50</v>
      </c>
      <c r="H29" s="8"/>
      <c r="I29" s="8">
        <f>ROUND(SUM(I26:I28),5)</f>
        <v>765</v>
      </c>
      <c r="J29" s="8"/>
      <c r="K29" s="8">
        <f>ROUND((G29-I29),5)</f>
        <v>-715</v>
      </c>
      <c r="L29" s="9"/>
      <c r="M29" s="10">
        <f>ROUND(IF(G29=0, IF(I29=0, 0, SIGN(-I29)), IF(I29=0, SIGN(G29), (G29-I29)/ABS(I29))),5)</f>
        <v>-0.93464000000000003</v>
      </c>
      <c r="O29" s="8">
        <f>ROUND(SUM(O26:O28),5)</f>
        <v>0</v>
      </c>
      <c r="P29" s="7" t="s">
        <v>82</v>
      </c>
    </row>
    <row r="30" spans="1:16" s="7" customFormat="1" ht="23.1" customHeight="1" thickBot="1" x14ac:dyDescent="0.35">
      <c r="A30" s="4"/>
      <c r="B30" s="4"/>
      <c r="C30" s="4"/>
      <c r="D30" s="4"/>
      <c r="E30" s="4" t="s">
        <v>28</v>
      </c>
      <c r="F30" s="4"/>
      <c r="G30" s="11">
        <v>22.51</v>
      </c>
      <c r="H30" s="8"/>
      <c r="I30" s="11">
        <v>0</v>
      </c>
      <c r="J30" s="8"/>
      <c r="K30" s="11">
        <f>ROUND((G30-I30),5)</f>
        <v>22.51</v>
      </c>
      <c r="L30" s="9"/>
      <c r="M30" s="12">
        <f>ROUND(IF(G30=0, IF(I30=0, 0, SIGN(-I30)), IF(I30=0, SIGN(G30), (G30-I30)/ABS(I30))),5)</f>
        <v>1</v>
      </c>
      <c r="O30" s="11"/>
      <c r="P30" s="7" t="s">
        <v>89</v>
      </c>
    </row>
    <row r="31" spans="1:16" s="7" customFormat="1" ht="23.1" customHeight="1" thickBot="1" x14ac:dyDescent="0.35">
      <c r="A31" s="4"/>
      <c r="B31" s="4"/>
      <c r="C31" s="4"/>
      <c r="D31" s="4" t="s">
        <v>29</v>
      </c>
      <c r="E31" s="4"/>
      <c r="F31" s="4"/>
      <c r="G31" s="8">
        <f>ROUND(G21+G25+SUM(G29:G30),5)</f>
        <v>9358.7099999999991</v>
      </c>
      <c r="H31" s="8"/>
      <c r="I31" s="8">
        <f>ROUND(I21+I25+SUM(I29:I30),5)</f>
        <v>13189.44</v>
      </c>
      <c r="J31" s="8"/>
      <c r="K31" s="8">
        <f>ROUND((G31-I31),5)</f>
        <v>-3830.73</v>
      </c>
      <c r="L31" s="9"/>
      <c r="M31" s="10">
        <f>ROUND(IF(G31=0, IF(I31=0, 0, SIGN(-I31)), IF(I31=0, SIGN(G31), (G31-I31)/ABS(I31))),5)</f>
        <v>-0.29043999999999998</v>
      </c>
      <c r="O31" s="8">
        <f>ROUND(O21+O25+SUM(O29:O30),5)</f>
        <v>0</v>
      </c>
    </row>
    <row r="32" spans="1:16" s="7" customFormat="1" ht="23.1" hidden="1" customHeight="1" x14ac:dyDescent="0.3">
      <c r="A32" s="4"/>
      <c r="B32" s="4"/>
      <c r="C32" s="4"/>
      <c r="D32" s="4" t="s">
        <v>30</v>
      </c>
      <c r="E32" s="4"/>
      <c r="F32" s="4"/>
      <c r="G32" s="8"/>
      <c r="H32" s="8"/>
      <c r="I32" s="8"/>
      <c r="J32" s="8"/>
      <c r="K32" s="8"/>
      <c r="L32" s="9"/>
      <c r="M32" s="10"/>
      <c r="O32" s="8"/>
    </row>
    <row r="33" spans="1:16" s="7" customFormat="1" ht="23.1" hidden="1" customHeight="1" x14ac:dyDescent="0.3">
      <c r="A33" s="4"/>
      <c r="B33" s="4"/>
      <c r="C33" s="4"/>
      <c r="D33" s="4"/>
      <c r="E33" s="4" t="s">
        <v>31</v>
      </c>
      <c r="F33" s="4"/>
      <c r="G33" s="8"/>
      <c r="H33" s="8"/>
      <c r="I33" s="8"/>
      <c r="J33" s="8"/>
      <c r="K33" s="8"/>
      <c r="L33" s="9"/>
      <c r="M33" s="10"/>
      <c r="O33" s="8"/>
    </row>
    <row r="34" spans="1:16" s="7" customFormat="1" ht="23.1" hidden="1" customHeight="1" x14ac:dyDescent="0.3">
      <c r="A34" s="4"/>
      <c r="B34" s="4"/>
      <c r="C34" s="4"/>
      <c r="D34" s="4"/>
      <c r="E34" s="4"/>
      <c r="F34" s="4" t="s">
        <v>32</v>
      </c>
      <c r="G34" s="8">
        <v>0</v>
      </c>
      <c r="H34" s="8"/>
      <c r="I34" s="8">
        <v>-612.5</v>
      </c>
      <c r="J34" s="8"/>
      <c r="K34" s="8">
        <f>ROUND((G34-I34),5)</f>
        <v>612.5</v>
      </c>
      <c r="L34" s="9"/>
      <c r="M34" s="10">
        <f>ROUND(IF(G34=0, IF(I34=0, 0, SIGN(-I34)), IF(I34=0, SIGN(G34), (G34-I34)/ABS(I34))),5)</f>
        <v>1</v>
      </c>
      <c r="O34" s="8">
        <v>0</v>
      </c>
    </row>
    <row r="35" spans="1:16" s="7" customFormat="1" ht="23.1" hidden="1" customHeight="1" x14ac:dyDescent="0.3">
      <c r="A35" s="4"/>
      <c r="B35" s="4"/>
      <c r="C35" s="4"/>
      <c r="D35" s="4"/>
      <c r="E35" s="4"/>
      <c r="F35" s="4" t="s">
        <v>33</v>
      </c>
      <c r="G35" s="8">
        <v>0</v>
      </c>
      <c r="H35" s="8"/>
      <c r="I35" s="8">
        <v>-375</v>
      </c>
      <c r="J35" s="8"/>
      <c r="K35" s="8">
        <f>ROUND((G35-I35),5)</f>
        <v>375</v>
      </c>
      <c r="L35" s="9"/>
      <c r="M35" s="10">
        <f>ROUND(IF(G35=0, IF(I35=0, 0, SIGN(-I35)), IF(I35=0, SIGN(G35), (G35-I35)/ABS(I35))),5)</f>
        <v>1</v>
      </c>
      <c r="O35" s="8">
        <v>0</v>
      </c>
    </row>
    <row r="36" spans="1:16" s="7" customFormat="1" ht="23.1" hidden="1" customHeight="1" thickBot="1" x14ac:dyDescent="0.35">
      <c r="A36" s="4"/>
      <c r="B36" s="4"/>
      <c r="C36" s="4"/>
      <c r="D36" s="4"/>
      <c r="E36" s="4"/>
      <c r="F36" s="4" t="s">
        <v>34</v>
      </c>
      <c r="G36" s="11">
        <v>0</v>
      </c>
      <c r="H36" s="8"/>
      <c r="I36" s="11">
        <v>-5279.75</v>
      </c>
      <c r="J36" s="8"/>
      <c r="K36" s="11">
        <f>ROUND((G36-I36),5)</f>
        <v>5279.75</v>
      </c>
      <c r="L36" s="9"/>
      <c r="M36" s="12">
        <f>ROUND(IF(G36=0, IF(I36=0, 0, SIGN(-I36)), IF(I36=0, SIGN(G36), (G36-I36)/ABS(I36))),5)</f>
        <v>1</v>
      </c>
      <c r="O36" s="11">
        <v>0</v>
      </c>
    </row>
    <row r="37" spans="1:16" s="7" customFormat="1" ht="23.1" hidden="1" customHeight="1" x14ac:dyDescent="0.3">
      <c r="A37" s="4"/>
      <c r="B37" s="4"/>
      <c r="C37" s="4"/>
      <c r="D37" s="4"/>
      <c r="E37" s="4" t="s">
        <v>35</v>
      </c>
      <c r="F37" s="4"/>
      <c r="G37" s="8">
        <f>ROUND(SUM(G33:G36),5)</f>
        <v>0</v>
      </c>
      <c r="H37" s="8"/>
      <c r="I37" s="8">
        <f>ROUND(SUM(I33:I36),5)</f>
        <v>-6267.25</v>
      </c>
      <c r="J37" s="8"/>
      <c r="K37" s="8">
        <f>ROUND((G37-I37),5)</f>
        <v>6267.25</v>
      </c>
      <c r="L37" s="9"/>
      <c r="M37" s="10">
        <f>ROUND(IF(G37=0, IF(I37=0, 0, SIGN(-I37)), IF(I37=0, SIGN(G37), (G37-I37)/ABS(I37))),5)</f>
        <v>1</v>
      </c>
      <c r="O37" s="8">
        <f>ROUND(SUM(O33:O36),5)</f>
        <v>0</v>
      </c>
    </row>
    <row r="38" spans="1:16" s="7" customFormat="1" ht="23.1" hidden="1" customHeight="1" x14ac:dyDescent="0.3">
      <c r="A38" s="4"/>
      <c r="B38" s="4"/>
      <c r="C38" s="4"/>
      <c r="D38" s="4"/>
      <c r="E38" s="4" t="s">
        <v>36</v>
      </c>
      <c r="F38" s="4"/>
      <c r="G38" s="8"/>
      <c r="H38" s="8"/>
      <c r="I38" s="8"/>
      <c r="J38" s="8"/>
      <c r="K38" s="8"/>
      <c r="L38" s="9"/>
      <c r="M38" s="10"/>
      <c r="O38" s="8"/>
    </row>
    <row r="39" spans="1:16" s="7" customFormat="1" ht="23.1" hidden="1" customHeight="1" x14ac:dyDescent="0.3">
      <c r="A39" s="4"/>
      <c r="B39" s="4"/>
      <c r="C39" s="4"/>
      <c r="D39" s="4"/>
      <c r="E39" s="4"/>
      <c r="F39" s="4" t="s">
        <v>37</v>
      </c>
      <c r="G39" s="8">
        <v>0</v>
      </c>
      <c r="H39" s="8"/>
      <c r="I39" s="8">
        <v>220.5</v>
      </c>
      <c r="J39" s="8"/>
      <c r="K39" s="8">
        <f t="shared" ref="K39:K47" si="4">ROUND((G39-I39),5)</f>
        <v>-220.5</v>
      </c>
      <c r="L39" s="9"/>
      <c r="M39" s="10">
        <f t="shared" ref="M39:M47" si="5">ROUND(IF(G39=0, IF(I39=0, 0, SIGN(-I39)), IF(I39=0, SIGN(G39), (G39-I39)/ABS(I39))),5)</f>
        <v>-1</v>
      </c>
      <c r="O39" s="8">
        <v>0</v>
      </c>
    </row>
    <row r="40" spans="1:16" s="7" customFormat="1" ht="23.1" hidden="1" customHeight="1" x14ac:dyDescent="0.3">
      <c r="A40" s="4"/>
      <c r="B40" s="4"/>
      <c r="C40" s="4"/>
      <c r="D40" s="4"/>
      <c r="E40" s="4"/>
      <c r="F40" s="4" t="s">
        <v>32</v>
      </c>
      <c r="G40" s="8">
        <v>0</v>
      </c>
      <c r="H40" s="8"/>
      <c r="I40" s="8">
        <v>6895</v>
      </c>
      <c r="J40" s="8"/>
      <c r="K40" s="8">
        <f t="shared" si="4"/>
        <v>-6895</v>
      </c>
      <c r="L40" s="9"/>
      <c r="M40" s="10">
        <f t="shared" si="5"/>
        <v>-1</v>
      </c>
      <c r="O40" s="8">
        <v>0</v>
      </c>
    </row>
    <row r="41" spans="1:16" s="7" customFormat="1" ht="23.1" hidden="1" customHeight="1" x14ac:dyDescent="0.3">
      <c r="A41" s="4"/>
      <c r="B41" s="4"/>
      <c r="C41" s="4"/>
      <c r="D41" s="4"/>
      <c r="E41" s="4"/>
      <c r="F41" s="4" t="s">
        <v>38</v>
      </c>
      <c r="G41" s="8">
        <v>0</v>
      </c>
      <c r="H41" s="8"/>
      <c r="I41" s="8">
        <v>459</v>
      </c>
      <c r="J41" s="8"/>
      <c r="K41" s="8">
        <f t="shared" si="4"/>
        <v>-459</v>
      </c>
      <c r="L41" s="9"/>
      <c r="M41" s="10">
        <f t="shared" si="5"/>
        <v>-1</v>
      </c>
      <c r="O41" s="8">
        <v>0</v>
      </c>
    </row>
    <row r="42" spans="1:16" s="7" customFormat="1" ht="23.1" hidden="1" customHeight="1" x14ac:dyDescent="0.3">
      <c r="A42" s="4"/>
      <c r="B42" s="4"/>
      <c r="C42" s="4"/>
      <c r="D42" s="4"/>
      <c r="E42" s="4"/>
      <c r="F42" s="4" t="s">
        <v>33</v>
      </c>
      <c r="G42" s="8">
        <v>0</v>
      </c>
      <c r="H42" s="8"/>
      <c r="I42" s="8">
        <v>4171.5200000000004</v>
      </c>
      <c r="J42" s="8"/>
      <c r="K42" s="8">
        <f t="shared" si="4"/>
        <v>-4171.5200000000004</v>
      </c>
      <c r="L42" s="9"/>
      <c r="M42" s="10">
        <f t="shared" si="5"/>
        <v>-1</v>
      </c>
      <c r="O42" s="8">
        <v>0</v>
      </c>
    </row>
    <row r="43" spans="1:16" s="7" customFormat="1" ht="23.1" hidden="1" customHeight="1" thickBot="1" x14ac:dyDescent="0.35">
      <c r="A43" s="4"/>
      <c r="B43" s="4"/>
      <c r="C43" s="4"/>
      <c r="D43" s="4"/>
      <c r="E43" s="4"/>
      <c r="F43" s="4" t="s">
        <v>39</v>
      </c>
      <c r="G43" s="11">
        <v>0</v>
      </c>
      <c r="H43" s="8"/>
      <c r="I43" s="11">
        <v>26</v>
      </c>
      <c r="J43" s="8"/>
      <c r="K43" s="11">
        <f t="shared" si="4"/>
        <v>-26</v>
      </c>
      <c r="L43" s="9"/>
      <c r="M43" s="12">
        <f t="shared" si="5"/>
        <v>-1</v>
      </c>
      <c r="O43" s="11">
        <v>0</v>
      </c>
    </row>
    <row r="44" spans="1:16" s="7" customFormat="1" ht="23.1" hidden="1" customHeight="1" x14ac:dyDescent="0.3">
      <c r="A44" s="4"/>
      <c r="B44" s="4"/>
      <c r="C44" s="4"/>
      <c r="D44" s="4"/>
      <c r="E44" s="4" t="s">
        <v>40</v>
      </c>
      <c r="F44" s="4"/>
      <c r="G44" s="8">
        <f>ROUND(SUM(G38:G43),5)</f>
        <v>0</v>
      </c>
      <c r="H44" s="8"/>
      <c r="I44" s="8">
        <f>ROUND(SUM(I38:I43),5)</f>
        <v>11772.02</v>
      </c>
      <c r="J44" s="8"/>
      <c r="K44" s="8">
        <f t="shared" si="4"/>
        <v>-11772.02</v>
      </c>
      <c r="L44" s="9"/>
      <c r="M44" s="10">
        <f t="shared" si="5"/>
        <v>-1</v>
      </c>
      <c r="O44" s="8">
        <f>ROUND(SUM(O38:O43),5)</f>
        <v>0</v>
      </c>
    </row>
    <row r="45" spans="1:16" s="7" customFormat="1" ht="23.1" hidden="1" customHeight="1" thickBot="1" x14ac:dyDescent="0.35">
      <c r="A45" s="4"/>
      <c r="B45" s="4"/>
      <c r="C45" s="4"/>
      <c r="D45" s="4"/>
      <c r="E45" s="4" t="s">
        <v>41</v>
      </c>
      <c r="F45" s="4"/>
      <c r="G45" s="13">
        <v>220.5</v>
      </c>
      <c r="H45" s="8"/>
      <c r="I45" s="13">
        <v>0</v>
      </c>
      <c r="J45" s="8"/>
      <c r="K45" s="13">
        <f t="shared" si="4"/>
        <v>220.5</v>
      </c>
      <c r="L45" s="9"/>
      <c r="M45" s="14">
        <f t="shared" si="5"/>
        <v>1</v>
      </c>
      <c r="O45" s="13"/>
      <c r="P45" s="7" t="s">
        <v>83</v>
      </c>
    </row>
    <row r="46" spans="1:16" s="7" customFormat="1" ht="23.1" customHeight="1" thickBot="1" x14ac:dyDescent="0.35">
      <c r="A46" s="4"/>
      <c r="B46" s="4"/>
      <c r="C46" s="4"/>
      <c r="D46" s="4" t="s">
        <v>42</v>
      </c>
      <c r="E46" s="4"/>
      <c r="F46" s="4"/>
      <c r="G46" s="15">
        <f>ROUND(G32+G37+SUM(G44:G45),5)</f>
        <v>220.5</v>
      </c>
      <c r="H46" s="8"/>
      <c r="I46" s="15">
        <f>ROUND(I32+I37+SUM(I44:I45),5)</f>
        <v>5504.77</v>
      </c>
      <c r="J46" s="8"/>
      <c r="K46" s="15">
        <f t="shared" si="4"/>
        <v>-5284.27</v>
      </c>
      <c r="L46" s="9"/>
      <c r="M46" s="16">
        <f t="shared" si="5"/>
        <v>-0.95994000000000002</v>
      </c>
      <c r="O46" s="15">
        <f>ROUND(O32+O37+SUM(O44:O45),5)</f>
        <v>0</v>
      </c>
    </row>
    <row r="47" spans="1:16" s="7" customFormat="1" ht="23.1" customHeight="1" x14ac:dyDescent="0.3">
      <c r="A47" s="4"/>
      <c r="B47" s="4"/>
      <c r="C47" s="4" t="s">
        <v>43</v>
      </c>
      <c r="D47" s="4"/>
      <c r="E47" s="4"/>
      <c r="F47" s="4"/>
      <c r="G47" s="8">
        <f>ROUND(SUM(G19:G20)+G31+G46,5)</f>
        <v>9161.2099999999991</v>
      </c>
      <c r="H47" s="8"/>
      <c r="I47" s="8">
        <f>ROUND(SUM(I19:I20)+I31+I46,5)</f>
        <v>16698.52</v>
      </c>
      <c r="J47" s="8"/>
      <c r="K47" s="8">
        <f t="shared" si="4"/>
        <v>-7537.31</v>
      </c>
      <c r="L47" s="9"/>
      <c r="M47" s="10">
        <f t="shared" si="5"/>
        <v>-0.45138</v>
      </c>
      <c r="O47" s="8">
        <f>ROUND(SUM(O19:O20)+O31+O46,5)</f>
        <v>15000</v>
      </c>
      <c r="P47" s="7" t="s">
        <v>84</v>
      </c>
    </row>
    <row r="48" spans="1:16" s="7" customFormat="1" ht="23.1" hidden="1" customHeight="1" x14ac:dyDescent="0.3">
      <c r="A48" s="4"/>
      <c r="B48" s="4"/>
      <c r="C48" s="4" t="s">
        <v>44</v>
      </c>
      <c r="D48" s="4"/>
      <c r="E48" s="4"/>
      <c r="F48" s="4"/>
      <c r="G48" s="8"/>
      <c r="H48" s="8"/>
      <c r="I48" s="8"/>
      <c r="J48" s="8"/>
      <c r="K48" s="8"/>
      <c r="L48" s="9"/>
      <c r="M48" s="10"/>
      <c r="O48" s="8"/>
    </row>
    <row r="49" spans="1:16" s="7" customFormat="1" ht="23.1" hidden="1" customHeight="1" thickBot="1" x14ac:dyDescent="0.35">
      <c r="A49" s="4"/>
      <c r="B49" s="4"/>
      <c r="C49" s="4"/>
      <c r="D49" s="4" t="s">
        <v>4</v>
      </c>
      <c r="E49" s="4"/>
      <c r="F49" s="4"/>
      <c r="G49" s="11">
        <v>1830.56</v>
      </c>
      <c r="H49" s="8"/>
      <c r="I49" s="11">
        <v>4116.96</v>
      </c>
      <c r="J49" s="8"/>
      <c r="K49" s="11">
        <f>ROUND((G49-I49),5)</f>
        <v>-2286.4</v>
      </c>
      <c r="L49" s="9"/>
      <c r="M49" s="12">
        <f>ROUND(IF(G49=0, IF(I49=0, 0, SIGN(-I49)), IF(I49=0, SIGN(G49), (G49-I49)/ABS(I49))),5)</f>
        <v>-0.55535999999999996</v>
      </c>
      <c r="O49" s="11">
        <v>4000</v>
      </c>
      <c r="P49" s="7" t="s">
        <v>91</v>
      </c>
    </row>
    <row r="50" spans="1:16" s="7" customFormat="1" ht="37.5" x14ac:dyDescent="0.3">
      <c r="A50" s="4"/>
      <c r="B50" s="4"/>
      <c r="C50" s="4" t="s">
        <v>45</v>
      </c>
      <c r="D50" s="4"/>
      <c r="E50" s="4"/>
      <c r="F50" s="4"/>
      <c r="G50" s="8">
        <f>ROUND(SUM(G48:G49),5)</f>
        <v>1830.56</v>
      </c>
      <c r="H50" s="8"/>
      <c r="I50" s="8">
        <f>ROUND(SUM(I48:I49),5)</f>
        <v>4116.96</v>
      </c>
      <c r="J50" s="8"/>
      <c r="K50" s="8">
        <f>ROUND((G50-I50),5)</f>
        <v>-2286.4</v>
      </c>
      <c r="L50" s="9"/>
      <c r="M50" s="10">
        <f>ROUND(IF(G50=0, IF(I50=0, 0, SIGN(-I50)), IF(I50=0, SIGN(G50), (G50-I50)/ABS(I50))),5)</f>
        <v>-0.55535999999999996</v>
      </c>
      <c r="O50" s="8">
        <f>ROUND(SUM(O48:O49),5)</f>
        <v>4000</v>
      </c>
      <c r="P50" s="26" t="s">
        <v>92</v>
      </c>
    </row>
    <row r="51" spans="1:16" s="7" customFormat="1" ht="23.1" hidden="1" customHeight="1" x14ac:dyDescent="0.3">
      <c r="A51" s="4"/>
      <c r="B51" s="4"/>
      <c r="C51" s="4" t="s">
        <v>46</v>
      </c>
      <c r="D51" s="4"/>
      <c r="E51" s="4"/>
      <c r="F51" s="4"/>
      <c r="G51" s="8"/>
      <c r="H51" s="8"/>
      <c r="I51" s="8"/>
      <c r="J51" s="8"/>
      <c r="K51" s="8"/>
      <c r="L51" s="9"/>
      <c r="M51" s="10"/>
      <c r="O51" s="8"/>
    </row>
    <row r="52" spans="1:16" s="7" customFormat="1" ht="23.1" hidden="1" customHeight="1" thickBot="1" x14ac:dyDescent="0.35">
      <c r="A52" s="4"/>
      <c r="B52" s="4"/>
      <c r="C52" s="4"/>
      <c r="D52" s="4" t="s">
        <v>4</v>
      </c>
      <c r="E52" s="4"/>
      <c r="F52" s="4"/>
      <c r="G52" s="11">
        <v>1322</v>
      </c>
      <c r="H52" s="8"/>
      <c r="I52" s="11">
        <v>1752</v>
      </c>
      <c r="J52" s="8"/>
      <c r="K52" s="11">
        <f>ROUND((G52-I52),5)</f>
        <v>-430</v>
      </c>
      <c r="L52" s="9"/>
      <c r="M52" s="12">
        <f>ROUND(IF(G52=0, IF(I52=0, 0, SIGN(-I52)), IF(I52=0, SIGN(G52), (G52-I52)/ABS(I52))),5)</f>
        <v>-0.24543000000000001</v>
      </c>
      <c r="O52" s="11">
        <v>1750</v>
      </c>
    </row>
    <row r="53" spans="1:16" s="7" customFormat="1" ht="23.1" customHeight="1" x14ac:dyDescent="0.3">
      <c r="A53" s="4"/>
      <c r="B53" s="4"/>
      <c r="C53" s="4" t="s">
        <v>47</v>
      </c>
      <c r="D53" s="4"/>
      <c r="E53" s="4"/>
      <c r="F53" s="4"/>
      <c r="G53" s="8">
        <f>ROUND(SUM(G51:G52),5)</f>
        <v>1322</v>
      </c>
      <c r="H53" s="8"/>
      <c r="I53" s="8">
        <f>ROUND(SUM(I51:I52),5)</f>
        <v>1752</v>
      </c>
      <c r="J53" s="8"/>
      <c r="K53" s="8">
        <f>ROUND((G53-I53),5)</f>
        <v>-430</v>
      </c>
      <c r="L53" s="9"/>
      <c r="M53" s="10">
        <f>ROUND(IF(G53=0, IF(I53=0, 0, SIGN(-I53)), IF(I53=0, SIGN(G53), (G53-I53)/ABS(I53))),5)</f>
        <v>-0.24543000000000001</v>
      </c>
      <c r="O53" s="8">
        <f>ROUND(SUM(O51:O52),5)</f>
        <v>1750</v>
      </c>
      <c r="P53" s="7" t="s">
        <v>85</v>
      </c>
    </row>
    <row r="54" spans="1:16" s="7" customFormat="1" ht="23.1" customHeight="1" x14ac:dyDescent="0.3">
      <c r="A54" s="4"/>
      <c r="B54" s="4"/>
      <c r="C54" s="4" t="s">
        <v>48</v>
      </c>
      <c r="D54" s="4"/>
      <c r="E54" s="4"/>
      <c r="F54" s="4"/>
      <c r="G54" s="8">
        <v>2000</v>
      </c>
      <c r="H54" s="8"/>
      <c r="I54" s="8">
        <v>0</v>
      </c>
      <c r="J54" s="8"/>
      <c r="K54" s="8">
        <f>ROUND((G54-I54),5)</f>
        <v>2000</v>
      </c>
      <c r="L54" s="9"/>
      <c r="M54" s="10">
        <f>ROUND(IF(G54=0, IF(I54=0, 0, SIGN(-I54)), IF(I54=0, SIGN(G54), (G54-I54)/ABS(I54))),5)</f>
        <v>1</v>
      </c>
      <c r="O54" s="8"/>
      <c r="P54" s="7" t="s">
        <v>86</v>
      </c>
    </row>
    <row r="55" spans="1:16" s="7" customFormat="1" ht="23.1" customHeight="1" x14ac:dyDescent="0.3">
      <c r="A55" s="4"/>
      <c r="B55" s="4"/>
      <c r="C55" s="4" t="s">
        <v>49</v>
      </c>
      <c r="D55" s="4"/>
      <c r="E55" s="4"/>
      <c r="F55" s="4"/>
      <c r="G55" s="8"/>
      <c r="H55" s="8"/>
      <c r="I55" s="8"/>
      <c r="J55" s="8"/>
      <c r="K55" s="8"/>
      <c r="L55" s="9"/>
      <c r="M55" s="10"/>
      <c r="O55" s="8"/>
    </row>
    <row r="56" spans="1:16" s="7" customFormat="1" ht="23.1" customHeight="1" x14ac:dyDescent="0.3">
      <c r="A56" s="4"/>
      <c r="B56" s="4"/>
      <c r="C56" s="4"/>
      <c r="D56" s="4" t="s">
        <v>6</v>
      </c>
      <c r="E56" s="4"/>
      <c r="F56" s="4"/>
      <c r="G56" s="8">
        <v>-21696</v>
      </c>
      <c r="H56" s="8"/>
      <c r="I56" s="8">
        <v>-20750.849999999999</v>
      </c>
      <c r="J56" s="8"/>
      <c r="K56" s="8">
        <f>ROUND((G56-I56),5)</f>
        <v>-945.15</v>
      </c>
      <c r="L56" s="9"/>
      <c r="M56" s="10">
        <f>ROUND(IF(G56=0, IF(I56=0, 0, SIGN(-I56)), IF(I56=0, SIGN(G56), (G56-I56)/ABS(I56))),5)</f>
        <v>-4.555E-2</v>
      </c>
      <c r="O56" s="8"/>
    </row>
    <row r="57" spans="1:16" s="7" customFormat="1" ht="23.1" customHeight="1" thickBot="1" x14ac:dyDescent="0.35">
      <c r="A57" s="4"/>
      <c r="B57" s="4"/>
      <c r="C57" s="4"/>
      <c r="D57" s="4" t="s">
        <v>4</v>
      </c>
      <c r="E57" s="4"/>
      <c r="F57" s="4"/>
      <c r="G57" s="11">
        <v>13551.4</v>
      </c>
      <c r="H57" s="8"/>
      <c r="I57" s="11">
        <v>27147.74</v>
      </c>
      <c r="J57" s="8"/>
      <c r="K57" s="11">
        <f>ROUND((G57-I57),5)</f>
        <v>-13596.34</v>
      </c>
      <c r="L57" s="9"/>
      <c r="M57" s="12">
        <f>ROUND(IF(G57=0, IF(I57=0, 0, SIGN(-I57)), IF(I57=0, SIGN(G57), (G57-I57)/ABS(I57))),5)</f>
        <v>-0.50083</v>
      </c>
      <c r="O57" s="11">
        <v>5000</v>
      </c>
    </row>
    <row r="58" spans="1:16" s="7" customFormat="1" ht="23.1" customHeight="1" thickBot="1" x14ac:dyDescent="0.35">
      <c r="A58" s="4"/>
      <c r="B58" s="4"/>
      <c r="C58" s="4" t="s">
        <v>50</v>
      </c>
      <c r="D58" s="4"/>
      <c r="E58" s="4"/>
      <c r="F58" s="4"/>
      <c r="G58" s="8">
        <f>ROUND(SUM(G55:G57),5)</f>
        <v>-8144.6</v>
      </c>
      <c r="H58" s="8"/>
      <c r="I58" s="8">
        <f>ROUND(SUM(I55:I57),5)</f>
        <v>6396.89</v>
      </c>
      <c r="J58" s="8"/>
      <c r="K58" s="8">
        <f>ROUND((G58-I58),5)</f>
        <v>-14541.49</v>
      </c>
      <c r="L58" s="9"/>
      <c r="M58" s="10">
        <f>ROUND(IF(G58=0, IF(I58=0, 0, SIGN(-I58)), IF(I58=0, SIGN(G58), (G58-I58)/ABS(I58))),5)</f>
        <v>-2.2732100000000002</v>
      </c>
      <c r="O58" s="8">
        <f>ROUND(SUM(O55:O57),5)</f>
        <v>5000</v>
      </c>
      <c r="P58" s="7" t="s">
        <v>87</v>
      </c>
    </row>
    <row r="59" spans="1:16" s="7" customFormat="1" ht="23.1" hidden="1" customHeight="1" x14ac:dyDescent="0.3">
      <c r="A59" s="4"/>
      <c r="B59" s="4"/>
      <c r="C59" s="4" t="s">
        <v>51</v>
      </c>
      <c r="D59" s="4"/>
      <c r="E59" s="4"/>
      <c r="F59" s="4"/>
      <c r="G59" s="8"/>
      <c r="H59" s="8"/>
      <c r="I59" s="8"/>
      <c r="J59" s="8"/>
      <c r="K59" s="8"/>
      <c r="L59" s="9"/>
      <c r="M59" s="10"/>
      <c r="O59" s="8"/>
    </row>
    <row r="60" spans="1:16" s="7" customFormat="1" ht="23.1" hidden="1" customHeight="1" x14ac:dyDescent="0.3">
      <c r="A60" s="4"/>
      <c r="B60" s="4"/>
      <c r="C60" s="4"/>
      <c r="D60" s="4" t="s">
        <v>6</v>
      </c>
      <c r="E60" s="4"/>
      <c r="F60" s="4"/>
      <c r="G60" s="8">
        <v>-36</v>
      </c>
      <c r="H60" s="8"/>
      <c r="I60" s="8">
        <v>-270</v>
      </c>
      <c r="J60" s="8"/>
      <c r="K60" s="8">
        <f>ROUND((G60-I60),5)</f>
        <v>234</v>
      </c>
      <c r="L60" s="9"/>
      <c r="M60" s="10">
        <f>ROUND(IF(G60=0, IF(I60=0, 0, SIGN(-I60)), IF(I60=0, SIGN(G60), (G60-I60)/ABS(I60))),5)</f>
        <v>0.86667000000000005</v>
      </c>
      <c r="O60" s="8"/>
    </row>
    <row r="61" spans="1:16" s="7" customFormat="1" ht="23.1" hidden="1" customHeight="1" thickBot="1" x14ac:dyDescent="0.35">
      <c r="A61" s="4"/>
      <c r="B61" s="4"/>
      <c r="C61" s="4"/>
      <c r="D61" s="4" t="s">
        <v>4</v>
      </c>
      <c r="E61" s="4"/>
      <c r="F61" s="4"/>
      <c r="G61" s="13">
        <v>0</v>
      </c>
      <c r="H61" s="8"/>
      <c r="I61" s="13">
        <v>205</v>
      </c>
      <c r="J61" s="8"/>
      <c r="K61" s="13">
        <f>ROUND((G61-I61),5)</f>
        <v>-205</v>
      </c>
      <c r="L61" s="9"/>
      <c r="M61" s="14">
        <f>ROUND(IF(G61=0, IF(I61=0, 0, SIGN(-I61)), IF(I61=0, SIGN(G61), (G61-I61)/ABS(I61))),5)</f>
        <v>-1</v>
      </c>
      <c r="O61" s="13">
        <v>200</v>
      </c>
    </row>
    <row r="62" spans="1:16" s="7" customFormat="1" ht="23.1" customHeight="1" thickBot="1" x14ac:dyDescent="0.35">
      <c r="A62" s="4"/>
      <c r="B62" s="4"/>
      <c r="C62" s="4" t="s">
        <v>52</v>
      </c>
      <c r="D62" s="4"/>
      <c r="E62" s="4"/>
      <c r="F62" s="4"/>
      <c r="G62" s="15">
        <f>ROUND(SUM(G59:G61),5)</f>
        <v>-36</v>
      </c>
      <c r="H62" s="8"/>
      <c r="I62" s="15">
        <f>ROUND(SUM(I59:I61),5)</f>
        <v>-65</v>
      </c>
      <c r="J62" s="8"/>
      <c r="K62" s="15">
        <f>ROUND((G62-I62),5)</f>
        <v>29</v>
      </c>
      <c r="L62" s="9"/>
      <c r="M62" s="16">
        <f>ROUND(IF(G62=0, IF(I62=0, 0, SIGN(-I62)), IF(I62=0, SIGN(G62), (G62-I62)/ABS(I62))),5)</f>
        <v>0.44614999999999999</v>
      </c>
      <c r="O62" s="15">
        <f>ROUND(SUM(O59:O61),5)</f>
        <v>200</v>
      </c>
    </row>
    <row r="63" spans="1:16" s="7" customFormat="1" ht="23.1" customHeight="1" x14ac:dyDescent="0.3">
      <c r="A63" s="4"/>
      <c r="B63" s="4" t="s">
        <v>53</v>
      </c>
      <c r="C63" s="4"/>
      <c r="D63" s="4"/>
      <c r="E63" s="4"/>
      <c r="F63" s="4"/>
      <c r="G63" s="8">
        <f>ROUND(G3+SUM(G7:G10)+SUM(G16:G18)+G47+G50+SUM(G53:G54)+G58+G62,5)</f>
        <v>39332.1</v>
      </c>
      <c r="H63" s="8"/>
      <c r="I63" s="8">
        <f>ROUND(I3+SUM(I7:I10)+SUM(I16:I18)+I47+I50+SUM(I53:I54)+I58+I62,5)</f>
        <v>67827.66</v>
      </c>
      <c r="J63" s="8"/>
      <c r="K63" s="8">
        <f>ROUND((G63-I63),5)</f>
        <v>-28495.56</v>
      </c>
      <c r="L63" s="9"/>
      <c r="M63" s="10">
        <f>ROUND(IF(G63=0, IF(I63=0, 0, SIGN(-I63)), IF(I63=0, SIGN(G63), (G63-I63)/ABS(I63))),5)</f>
        <v>-0.42011999999999999</v>
      </c>
      <c r="O63" s="8">
        <f>ROUND(O3+SUM(O7:O10)+SUM(O16:O18)+O47+O50+SUM(O53:O54)+O58+O62,5)</f>
        <v>60950</v>
      </c>
    </row>
    <row r="64" spans="1:16" s="7" customFormat="1" ht="23.1" customHeight="1" x14ac:dyDescent="0.3">
      <c r="A64" s="4"/>
      <c r="B64" s="4" t="s">
        <v>6</v>
      </c>
      <c r="C64" s="4"/>
      <c r="D64" s="4"/>
      <c r="E64" s="4"/>
      <c r="F64" s="4"/>
      <c r="G64" s="8"/>
      <c r="H64" s="8"/>
      <c r="I64" s="8"/>
      <c r="J64" s="8"/>
      <c r="K64" s="8"/>
      <c r="L64" s="9"/>
      <c r="M64" s="10"/>
      <c r="O64" s="8"/>
    </row>
    <row r="65" spans="1:16" s="7" customFormat="1" ht="23.1" customHeight="1" x14ac:dyDescent="0.3">
      <c r="A65" s="4"/>
      <c r="B65" s="4"/>
      <c r="C65" s="4" t="s">
        <v>54</v>
      </c>
      <c r="D65" s="4"/>
      <c r="E65" s="4"/>
      <c r="F65" s="4"/>
      <c r="G65" s="8">
        <v>844.96</v>
      </c>
      <c r="H65" s="8"/>
      <c r="I65" s="8">
        <v>3512.25</v>
      </c>
      <c r="J65" s="8"/>
      <c r="K65" s="8">
        <f>ROUND((G65-I65),5)</f>
        <v>-2667.29</v>
      </c>
      <c r="L65" s="9"/>
      <c r="M65" s="10">
        <f>ROUND(IF(G65=0, IF(I65=0, 0, SIGN(-I65)), IF(I65=0, SIGN(G65), (G65-I65)/ABS(I65))),5)</f>
        <v>-0.75941999999999998</v>
      </c>
      <c r="O65" s="8">
        <v>4100</v>
      </c>
    </row>
    <row r="66" spans="1:16" s="7" customFormat="1" ht="23.1" customHeight="1" x14ac:dyDescent="0.3">
      <c r="A66" s="4"/>
      <c r="B66" s="4"/>
      <c r="C66" s="4" t="s">
        <v>55</v>
      </c>
      <c r="D66" s="4"/>
      <c r="E66" s="4"/>
      <c r="F66" s="4"/>
      <c r="G66" s="8">
        <v>0</v>
      </c>
      <c r="H66" s="8"/>
      <c r="I66" s="8">
        <v>31802.32</v>
      </c>
      <c r="J66" s="8"/>
      <c r="K66" s="8">
        <f>ROUND((G66-I66),5)</f>
        <v>-31802.32</v>
      </c>
      <c r="L66" s="9"/>
      <c r="M66" s="10">
        <f>ROUND(IF(G66=0, IF(I66=0, 0, SIGN(-I66)), IF(I66=0, SIGN(G66), (G66-I66)/ABS(I66))),5)</f>
        <v>-1</v>
      </c>
      <c r="O66" s="8">
        <v>55000</v>
      </c>
    </row>
    <row r="67" spans="1:16" s="7" customFormat="1" ht="23.1" customHeight="1" x14ac:dyDescent="0.3">
      <c r="A67" s="4"/>
      <c r="B67" s="4"/>
      <c r="C67" s="4" t="s">
        <v>56</v>
      </c>
      <c r="D67" s="4"/>
      <c r="E67" s="4"/>
      <c r="F67" s="4"/>
      <c r="G67" s="8">
        <v>0</v>
      </c>
      <c r="H67" s="8"/>
      <c r="I67" s="8">
        <v>1950.66</v>
      </c>
      <c r="J67" s="8"/>
      <c r="K67" s="8">
        <f>ROUND((G67-I67),5)</f>
        <v>-1950.66</v>
      </c>
      <c r="L67" s="9"/>
      <c r="M67" s="10">
        <f>ROUND(IF(G67=0, IF(I67=0, 0, SIGN(-I67)), IF(I67=0, SIGN(G67), (G67-I67)/ABS(I67))),5)</f>
        <v>-1</v>
      </c>
      <c r="O67" s="8">
        <v>2000</v>
      </c>
    </row>
    <row r="68" spans="1:16" s="7" customFormat="1" ht="23.1" customHeight="1" x14ac:dyDescent="0.3">
      <c r="A68" s="4"/>
      <c r="B68" s="4"/>
      <c r="C68" s="4" t="s">
        <v>57</v>
      </c>
      <c r="D68" s="4"/>
      <c r="E68" s="4"/>
      <c r="F68" s="4"/>
      <c r="G68" s="8">
        <v>0</v>
      </c>
      <c r="H68" s="8"/>
      <c r="I68" s="8">
        <v>2562.9299999999998</v>
      </c>
      <c r="J68" s="8"/>
      <c r="K68" s="8">
        <f>ROUND((G68-I68),5)</f>
        <v>-2562.9299999999998</v>
      </c>
      <c r="L68" s="9"/>
      <c r="M68" s="10">
        <f>ROUND(IF(G68=0, IF(I68=0, 0, SIGN(-I68)), IF(I68=0, SIGN(G68), (G68-I68)/ABS(I68))),5)</f>
        <v>-1</v>
      </c>
      <c r="O68" s="8">
        <v>2500</v>
      </c>
    </row>
    <row r="69" spans="1:16" s="7" customFormat="1" ht="23.1" customHeight="1" x14ac:dyDescent="0.3">
      <c r="A69" s="4"/>
      <c r="B69" s="4"/>
      <c r="C69" s="4" t="s">
        <v>58</v>
      </c>
      <c r="D69" s="4"/>
      <c r="E69" s="4"/>
      <c r="F69" s="4"/>
      <c r="G69" s="8">
        <v>0</v>
      </c>
      <c r="H69" s="8"/>
      <c r="I69" s="8">
        <v>5000</v>
      </c>
      <c r="J69" s="8"/>
      <c r="K69" s="8">
        <f>ROUND((G69-I69),5)</f>
        <v>-5000</v>
      </c>
      <c r="L69" s="9"/>
      <c r="M69" s="10">
        <f>ROUND(IF(G69=0, IF(I69=0, 0, SIGN(-I69)), IF(I69=0, SIGN(G69), (G69-I69)/ABS(I69))),5)</f>
        <v>-1</v>
      </c>
      <c r="O69" s="8">
        <v>5000</v>
      </c>
    </row>
    <row r="70" spans="1:16" s="7" customFormat="1" ht="23.1" hidden="1" customHeight="1" x14ac:dyDescent="0.3">
      <c r="A70" s="4"/>
      <c r="B70" s="4"/>
      <c r="C70" s="4" t="s">
        <v>59</v>
      </c>
      <c r="D70" s="4"/>
      <c r="E70" s="4"/>
      <c r="F70" s="4"/>
      <c r="G70" s="8"/>
      <c r="H70" s="8"/>
      <c r="I70" s="8"/>
      <c r="J70" s="8"/>
      <c r="K70" s="8"/>
      <c r="L70" s="9"/>
      <c r="M70" s="10"/>
      <c r="O70" s="8"/>
    </row>
    <row r="71" spans="1:16" s="7" customFormat="1" ht="23.1" hidden="1" customHeight="1" x14ac:dyDescent="0.3">
      <c r="A71" s="4"/>
      <c r="B71" s="4"/>
      <c r="C71" s="4"/>
      <c r="D71" s="4" t="s">
        <v>71</v>
      </c>
      <c r="E71" s="4"/>
      <c r="F71" s="4"/>
      <c r="G71" s="8">
        <v>0</v>
      </c>
      <c r="H71" s="8"/>
      <c r="I71" s="8">
        <v>216.81</v>
      </c>
      <c r="J71" s="8"/>
      <c r="K71" s="8">
        <f>ROUND((G71-I71),5)</f>
        <v>-216.81</v>
      </c>
      <c r="L71" s="9"/>
      <c r="M71" s="10">
        <f>ROUND(IF(G71=0, IF(I71=0, 0, SIGN(-I71)), IF(I71=0, SIGN(G71), (G71-I71)/ABS(I71))),5)</f>
        <v>-1</v>
      </c>
      <c r="O71" s="8">
        <f>250+200</f>
        <v>450</v>
      </c>
    </row>
    <row r="72" spans="1:16" s="7" customFormat="1" ht="23.1" hidden="1" customHeight="1" thickBot="1" x14ac:dyDescent="0.35">
      <c r="A72" s="4"/>
      <c r="B72" s="4"/>
      <c r="C72" s="4"/>
      <c r="D72" s="4" t="s">
        <v>60</v>
      </c>
      <c r="E72" s="4"/>
      <c r="F72" s="4"/>
      <c r="G72" s="11">
        <v>0</v>
      </c>
      <c r="H72" s="8"/>
      <c r="I72" s="11">
        <v>-1093.47</v>
      </c>
      <c r="J72" s="8"/>
      <c r="K72" s="11">
        <f>ROUND((G72-I72),5)</f>
        <v>1093.47</v>
      </c>
      <c r="L72" s="9"/>
      <c r="M72" s="12">
        <f>ROUND(IF(G72=0, IF(I72=0, 0, SIGN(-I72)), IF(I72=0, SIGN(G72), (G72-I72)/ABS(I72))),5)</f>
        <v>1</v>
      </c>
      <c r="O72" s="11">
        <v>0</v>
      </c>
    </row>
    <row r="73" spans="1:16" s="7" customFormat="1" ht="23.1" customHeight="1" x14ac:dyDescent="0.3">
      <c r="A73" s="4"/>
      <c r="B73" s="4"/>
      <c r="C73" s="4" t="s">
        <v>61</v>
      </c>
      <c r="D73" s="4"/>
      <c r="E73" s="4"/>
      <c r="F73" s="4"/>
      <c r="G73" s="8">
        <f>ROUND(SUM(G70:G72),5)</f>
        <v>0</v>
      </c>
      <c r="H73" s="8"/>
      <c r="I73" s="8">
        <f>ROUND(SUM(I70:I72),5)</f>
        <v>-876.66</v>
      </c>
      <c r="J73" s="8"/>
      <c r="K73" s="8">
        <f>ROUND((G73-I73),5)</f>
        <v>876.66</v>
      </c>
      <c r="L73" s="9"/>
      <c r="M73" s="10">
        <f>ROUND(IF(G73=0, IF(I73=0, 0, SIGN(-I73)), IF(I73=0, SIGN(G73), (G73-I73)/ABS(I73))),5)</f>
        <v>1</v>
      </c>
      <c r="O73" s="8">
        <f>ROUND(SUM(O70:O72),5)</f>
        <v>450</v>
      </c>
    </row>
    <row r="74" spans="1:16" s="7" customFormat="1" ht="23.1" customHeight="1" x14ac:dyDescent="0.3">
      <c r="A74" s="4"/>
      <c r="B74" s="4"/>
      <c r="C74" s="4" t="s">
        <v>62</v>
      </c>
      <c r="D74" s="4"/>
      <c r="E74" s="4"/>
      <c r="F74" s="4"/>
      <c r="G74" s="8">
        <v>10000</v>
      </c>
      <c r="H74" s="8"/>
      <c r="I74" s="8">
        <v>5000</v>
      </c>
      <c r="J74" s="8"/>
      <c r="K74" s="8">
        <f>ROUND((G74-I74),5)</f>
        <v>5000</v>
      </c>
      <c r="L74" s="9"/>
      <c r="M74" s="10">
        <f>ROUND(IF(G74=0, IF(I74=0, 0, SIGN(-I74)), IF(I74=0, SIGN(G74), (G74-I74)/ABS(I74))),5)</f>
        <v>1</v>
      </c>
      <c r="O74" s="8">
        <v>10000</v>
      </c>
      <c r="P74" s="7" t="s">
        <v>88</v>
      </c>
    </row>
    <row r="75" spans="1:16" s="7" customFormat="1" ht="23.1" customHeight="1" x14ac:dyDescent="0.3">
      <c r="A75" s="4"/>
      <c r="B75" s="4"/>
      <c r="C75" s="4" t="s">
        <v>63</v>
      </c>
      <c r="D75" s="4"/>
      <c r="E75" s="4"/>
      <c r="F75" s="4"/>
      <c r="G75" s="8"/>
      <c r="H75" s="8"/>
      <c r="I75" s="8"/>
      <c r="J75" s="8"/>
      <c r="K75" s="8"/>
      <c r="L75" s="9"/>
      <c r="M75" s="10"/>
      <c r="O75" s="8"/>
    </row>
    <row r="76" spans="1:16" s="7" customFormat="1" ht="23.1" customHeight="1" x14ac:dyDescent="0.3">
      <c r="A76" s="4"/>
      <c r="B76" s="4"/>
      <c r="C76" s="4"/>
      <c r="D76" s="4" t="s">
        <v>64</v>
      </c>
      <c r="E76" s="4"/>
      <c r="F76" s="4"/>
      <c r="G76" s="8">
        <v>0</v>
      </c>
      <c r="H76" s="8"/>
      <c r="I76" s="8">
        <v>1782.04</v>
      </c>
      <c r="J76" s="8"/>
      <c r="K76" s="8">
        <f>ROUND((G76-I76),5)</f>
        <v>-1782.04</v>
      </c>
      <c r="L76" s="9"/>
      <c r="M76" s="10">
        <f t="shared" ref="M76:M82" si="6">ROUND(IF(G76=0, IF(I76=0, 0, SIGN(-I76)), IF(I76=0, SIGN(G76), (G76-I76)/ABS(I76))),5)</f>
        <v>-1</v>
      </c>
      <c r="O76" s="8">
        <v>2000</v>
      </c>
    </row>
    <row r="77" spans="1:16" s="7" customFormat="1" ht="23.1" customHeight="1" x14ac:dyDescent="0.3">
      <c r="A77" s="4"/>
      <c r="B77" s="4"/>
      <c r="C77" s="4"/>
      <c r="D77" s="4" t="s">
        <v>65</v>
      </c>
      <c r="E77" s="4"/>
      <c r="F77" s="4"/>
      <c r="G77" s="8">
        <v>0</v>
      </c>
      <c r="H77" s="8"/>
      <c r="I77" s="8">
        <v>3000</v>
      </c>
      <c r="J77" s="8"/>
      <c r="K77" s="8">
        <f t="shared" ref="K77:K82" si="7">ROUND((G77-I77),5)</f>
        <v>-3000</v>
      </c>
      <c r="L77" s="9"/>
      <c r="M77" s="10">
        <f t="shared" si="6"/>
        <v>-1</v>
      </c>
      <c r="O77" s="8">
        <v>3000</v>
      </c>
    </row>
    <row r="78" spans="1:16" s="7" customFormat="1" ht="23.1" customHeight="1" thickBot="1" x14ac:dyDescent="0.35">
      <c r="A78" s="4"/>
      <c r="B78" s="4"/>
      <c r="C78" s="4"/>
      <c r="D78" s="4" t="s">
        <v>66</v>
      </c>
      <c r="E78" s="4"/>
      <c r="F78" s="4"/>
      <c r="G78" s="11">
        <v>0</v>
      </c>
      <c r="H78" s="8"/>
      <c r="I78" s="11">
        <v>1752.94</v>
      </c>
      <c r="J78" s="8"/>
      <c r="K78" s="11">
        <f t="shared" si="7"/>
        <v>-1752.94</v>
      </c>
      <c r="L78" s="9"/>
      <c r="M78" s="12">
        <f t="shared" si="6"/>
        <v>-1</v>
      </c>
      <c r="O78" s="11">
        <v>1800</v>
      </c>
    </row>
    <row r="79" spans="1:16" s="7" customFormat="1" ht="23.1" customHeight="1" x14ac:dyDescent="0.3">
      <c r="A79" s="4"/>
      <c r="B79" s="4"/>
      <c r="C79" s="4" t="s">
        <v>67</v>
      </c>
      <c r="D79" s="4"/>
      <c r="E79" s="4"/>
      <c r="F79" s="4"/>
      <c r="G79" s="8">
        <f>ROUND(SUM(G75:G78),5)</f>
        <v>0</v>
      </c>
      <c r="H79" s="8"/>
      <c r="I79" s="8">
        <f>ROUND(SUM(I75:I78),5)</f>
        <v>6534.98</v>
      </c>
      <c r="J79" s="8"/>
      <c r="K79" s="8">
        <f t="shared" si="7"/>
        <v>-6534.98</v>
      </c>
      <c r="L79" s="9"/>
      <c r="M79" s="10">
        <f t="shared" si="6"/>
        <v>-1</v>
      </c>
      <c r="O79" s="8">
        <f>ROUND(SUM(O75:O78),5)</f>
        <v>6800</v>
      </c>
    </row>
    <row r="80" spans="1:16" s="7" customFormat="1" ht="23.1" customHeight="1" thickBot="1" x14ac:dyDescent="0.35">
      <c r="A80" s="4"/>
      <c r="B80" s="4"/>
      <c r="C80" s="4" t="s">
        <v>68</v>
      </c>
      <c r="D80" s="4"/>
      <c r="E80" s="4"/>
      <c r="F80" s="4"/>
      <c r="G80" s="13">
        <v>1300</v>
      </c>
      <c r="H80" s="8"/>
      <c r="I80" s="13">
        <v>1457.46</v>
      </c>
      <c r="J80" s="8"/>
      <c r="K80" s="13">
        <f t="shared" si="7"/>
        <v>-157.46</v>
      </c>
      <c r="L80" s="9"/>
      <c r="M80" s="14">
        <f t="shared" si="6"/>
        <v>-0.10804</v>
      </c>
      <c r="O80" s="13">
        <v>5000</v>
      </c>
    </row>
    <row r="81" spans="1:15" s="7" customFormat="1" ht="23.1" customHeight="1" thickBot="1" x14ac:dyDescent="0.35">
      <c r="A81" s="4"/>
      <c r="B81" s="4" t="s">
        <v>69</v>
      </c>
      <c r="C81" s="4"/>
      <c r="D81" s="4"/>
      <c r="E81" s="4"/>
      <c r="F81" s="4"/>
      <c r="G81" s="17">
        <f>ROUND(SUM(G64:G69)+SUM(G73:G74)+SUM(G79:G80),5)</f>
        <v>12144.96</v>
      </c>
      <c r="H81" s="8"/>
      <c r="I81" s="17">
        <f>ROUND(SUM(I64:I69)+SUM(I73:I74)+SUM(I79:I80),5)</f>
        <v>56943.94</v>
      </c>
      <c r="J81" s="8"/>
      <c r="K81" s="17">
        <f t="shared" si="7"/>
        <v>-44798.98</v>
      </c>
      <c r="L81" s="9"/>
      <c r="M81" s="18">
        <f t="shared" si="6"/>
        <v>-0.78671999999999997</v>
      </c>
      <c r="O81" s="17">
        <f>ROUND(SUM(O64:O69)+SUM(O73:O74)+SUM(O79:O80),5)</f>
        <v>90850</v>
      </c>
    </row>
    <row r="82" spans="1:15" s="22" customFormat="1" ht="23.1" customHeight="1" thickBot="1" x14ac:dyDescent="0.35">
      <c r="A82" s="4" t="s">
        <v>70</v>
      </c>
      <c r="B82" s="4"/>
      <c r="C82" s="4"/>
      <c r="D82" s="4"/>
      <c r="E82" s="4"/>
      <c r="F82" s="4"/>
      <c r="G82" s="19">
        <f>ROUND(G63-G81,5)</f>
        <v>27187.14</v>
      </c>
      <c r="H82" s="20"/>
      <c r="I82" s="19">
        <f>ROUND(I63-I81,5)</f>
        <v>10883.72</v>
      </c>
      <c r="J82" s="20"/>
      <c r="K82" s="19">
        <f t="shared" si="7"/>
        <v>16303.42</v>
      </c>
      <c r="L82" s="4"/>
      <c r="M82" s="21">
        <f t="shared" si="6"/>
        <v>1.49796</v>
      </c>
      <c r="O82" s="19">
        <f>ROUND(O63-O81,5)</f>
        <v>-29900</v>
      </c>
    </row>
    <row r="83" spans="1:15" s="7" customFormat="1" ht="19.5" thickTop="1" x14ac:dyDescent="0.3">
      <c r="A83" s="23"/>
      <c r="B83" s="23"/>
      <c r="C83" s="23"/>
      <c r="D83" s="23"/>
      <c r="E83" s="23"/>
      <c r="F83" s="23"/>
      <c r="G83" s="24"/>
      <c r="H83" s="24"/>
      <c r="I83" s="24"/>
      <c r="J83" s="24"/>
      <c r="K83" s="24"/>
      <c r="L83" s="25"/>
      <c r="M83" s="25"/>
      <c r="O83" s="25"/>
    </row>
    <row r="84" spans="1:15" s="7" customFormat="1" ht="18.75" x14ac:dyDescent="0.3">
      <c r="A84" s="23"/>
      <c r="B84" s="23"/>
      <c r="C84" s="23"/>
      <c r="D84" s="23"/>
      <c r="E84" s="23"/>
      <c r="F84" s="23"/>
      <c r="G84" s="25"/>
      <c r="H84" s="25"/>
      <c r="I84" s="25"/>
      <c r="J84" s="25"/>
      <c r="K84" s="28" t="s">
        <v>93</v>
      </c>
      <c r="L84" s="28"/>
      <c r="M84" s="28"/>
      <c r="N84" s="29"/>
      <c r="O84" s="30"/>
    </row>
    <row r="85" spans="1:15" s="7" customFormat="1" ht="18.75" x14ac:dyDescent="0.3">
      <c r="A85" s="23"/>
      <c r="B85" s="23"/>
      <c r="C85" s="23"/>
      <c r="D85" s="23"/>
      <c r="E85" s="23"/>
      <c r="F85" s="23"/>
      <c r="G85" s="25"/>
      <c r="H85" s="25"/>
      <c r="I85" s="25"/>
      <c r="J85" s="25"/>
      <c r="K85" s="25" t="s">
        <v>94</v>
      </c>
      <c r="L85" s="25"/>
      <c r="M85" s="25"/>
      <c r="N85" s="27"/>
      <c r="O85" s="24">
        <v>62333.120000000003</v>
      </c>
    </row>
    <row r="86" spans="1:15" s="7" customFormat="1" ht="18.75" x14ac:dyDescent="0.3">
      <c r="A86" s="23"/>
      <c r="B86" s="23"/>
      <c r="C86" s="23"/>
      <c r="D86" s="23"/>
      <c r="E86" s="23"/>
      <c r="F86" s="23"/>
      <c r="G86" s="25"/>
      <c r="H86" s="25"/>
      <c r="I86" s="25"/>
      <c r="J86" s="25"/>
      <c r="K86" s="25" t="s">
        <v>95</v>
      </c>
      <c r="L86" s="25"/>
      <c r="M86" s="25"/>
      <c r="O86" s="24">
        <f>O87-O85</f>
        <v>27187.139999999992</v>
      </c>
    </row>
    <row r="87" spans="1:15" ht="18.75" x14ac:dyDescent="0.3">
      <c r="K87" s="27" t="s">
        <v>96</v>
      </c>
      <c r="L87" s="25"/>
      <c r="M87" s="25"/>
      <c r="N87" s="7"/>
      <c r="O87" s="24">
        <v>89520.26</v>
      </c>
    </row>
    <row r="88" spans="1:15" x14ac:dyDescent="0.25">
      <c r="O88" s="31">
        <f>O86-G82</f>
        <v>0</v>
      </c>
    </row>
  </sheetData>
  <printOptions horizontalCentered="1"/>
  <pageMargins left="0.2" right="0.2" top="0.66" bottom="0.25" header="0.1" footer="0.3"/>
  <pageSetup scale="47" orientation="landscape" r:id="rId1"/>
  <headerFooter>
    <oddHeader>&amp;L&amp;"Times New Roman,Bold"&amp;14TREASURER REPORT&amp;C&amp;"Times New Roman,Bold"&amp;14 Tiger PAWS of Wheaton Warrenville South
 Profit &amp;&amp; Loss Prev Year Comparison
 July 2017 through June 2018</oddHeader>
    <oddFooter>&amp;R&amp;"Times New Roman,Bold"&amp;14&amp;D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4EA7-A060-4675-ABB6-A90CEC52DEC7}">
  <sheetPr>
    <pageSetUpPr fitToPage="1"/>
  </sheetPr>
  <dimension ref="A1:F52"/>
  <sheetViews>
    <sheetView workbookViewId="0">
      <selection sqref="A1:F2"/>
    </sheetView>
  </sheetViews>
  <sheetFormatPr defaultColWidth="9.140625" defaultRowHeight="15" x14ac:dyDescent="0.25"/>
  <cols>
    <col min="1" max="1" width="3.28515625" style="189" customWidth="1"/>
    <col min="2" max="2" width="46.7109375" style="189" bestFit="1" customWidth="1"/>
    <col min="3" max="3" width="17" style="189" bestFit="1" customWidth="1"/>
    <col min="4" max="4" width="16.5703125" style="189" bestFit="1" customWidth="1"/>
    <col min="5" max="5" width="17.5703125" style="189" bestFit="1" customWidth="1"/>
    <col min="6" max="6" width="65" style="189" bestFit="1" customWidth="1"/>
    <col min="7" max="16384" width="9.140625" style="189"/>
  </cols>
  <sheetData>
    <row r="1" spans="1:6" ht="19.5" customHeight="1" x14ac:dyDescent="0.25">
      <c r="A1" s="240" t="s">
        <v>310</v>
      </c>
      <c r="B1" s="241"/>
      <c r="C1" s="241"/>
      <c r="D1" s="241"/>
      <c r="E1" s="241"/>
      <c r="F1" s="242"/>
    </row>
    <row r="2" spans="1:6" ht="19.5" customHeight="1" x14ac:dyDescent="0.25">
      <c r="A2" s="243"/>
      <c r="B2" s="244"/>
      <c r="C2" s="244"/>
      <c r="D2" s="244"/>
      <c r="E2" s="244"/>
      <c r="F2" s="245"/>
    </row>
    <row r="3" spans="1:6" ht="47.25" x14ac:dyDescent="0.25">
      <c r="A3" s="190"/>
      <c r="B3" s="190"/>
      <c r="C3" s="191" t="s">
        <v>288</v>
      </c>
      <c r="D3" s="192" t="s">
        <v>289</v>
      </c>
      <c r="E3" s="191" t="s">
        <v>290</v>
      </c>
      <c r="F3" s="193" t="s">
        <v>291</v>
      </c>
    </row>
    <row r="4" spans="1:6" ht="15.75" x14ac:dyDescent="0.25">
      <c r="A4" s="246" t="s">
        <v>4</v>
      </c>
      <c r="B4" s="246"/>
      <c r="C4" s="194"/>
      <c r="D4" s="195"/>
      <c r="E4" s="194"/>
      <c r="F4" s="194"/>
    </row>
    <row r="5" spans="1:6" ht="15.75" x14ac:dyDescent="0.25">
      <c r="A5" s="196"/>
      <c r="B5" s="196" t="s">
        <v>272</v>
      </c>
      <c r="C5" s="197">
        <v>6173.75</v>
      </c>
      <c r="D5" s="198">
        <v>13735.87</v>
      </c>
      <c r="E5" s="197">
        <v>5000</v>
      </c>
      <c r="F5" s="197"/>
    </row>
    <row r="6" spans="1:6" ht="15.75" x14ac:dyDescent="0.25">
      <c r="A6" s="196"/>
      <c r="B6" s="196" t="s">
        <v>11</v>
      </c>
      <c r="C6" s="197">
        <f>SUM(C7:C9)</f>
        <v>14925.05</v>
      </c>
      <c r="D6" s="199">
        <v>19064.89</v>
      </c>
      <c r="E6" s="197">
        <v>11000</v>
      </c>
      <c r="F6" s="197"/>
    </row>
    <row r="7" spans="1:6" x14ac:dyDescent="0.25">
      <c r="B7" s="200" t="s">
        <v>301</v>
      </c>
      <c r="C7" s="223">
        <v>15775.05</v>
      </c>
      <c r="D7" s="223"/>
      <c r="E7" s="223"/>
      <c r="F7" s="224"/>
    </row>
    <row r="8" spans="1:6" ht="15.75" x14ac:dyDescent="0.25">
      <c r="A8" s="196"/>
      <c r="B8" s="200" t="s">
        <v>299</v>
      </c>
      <c r="C8" s="198">
        <v>0</v>
      </c>
      <c r="D8" s="199"/>
      <c r="E8" s="198"/>
      <c r="F8" s="197"/>
    </row>
    <row r="9" spans="1:6" ht="15.75" x14ac:dyDescent="0.25">
      <c r="A9" s="196"/>
      <c r="B9" s="200" t="s">
        <v>298</v>
      </c>
      <c r="C9" s="198">
        <v>-850</v>
      </c>
      <c r="D9" s="199"/>
      <c r="E9" s="198"/>
      <c r="F9" s="197"/>
    </row>
    <row r="10" spans="1:6" ht="15.75" x14ac:dyDescent="0.25">
      <c r="A10" s="196"/>
      <c r="B10" s="196" t="s">
        <v>285</v>
      </c>
      <c r="C10" s="197"/>
      <c r="D10" s="199">
        <v>5247</v>
      </c>
      <c r="E10" s="197">
        <v>2500</v>
      </c>
      <c r="F10" s="197"/>
    </row>
    <row r="11" spans="1:6" ht="15.75" x14ac:dyDescent="0.25">
      <c r="A11" s="196"/>
      <c r="B11" s="196" t="s">
        <v>202</v>
      </c>
      <c r="C11" s="197">
        <v>0</v>
      </c>
      <c r="D11" s="199">
        <v>18088.48</v>
      </c>
      <c r="E11" s="197">
        <v>0</v>
      </c>
      <c r="F11" s="197"/>
    </row>
    <row r="12" spans="1:6" ht="15.75" x14ac:dyDescent="0.25">
      <c r="A12" s="196"/>
      <c r="B12" s="196" t="s">
        <v>203</v>
      </c>
      <c r="C12" s="197">
        <v>0</v>
      </c>
      <c r="D12" s="199">
        <v>-384.69</v>
      </c>
      <c r="E12" s="197">
        <v>2000</v>
      </c>
      <c r="F12" s="197"/>
    </row>
    <row r="13" spans="1:6" ht="15.75" x14ac:dyDescent="0.25">
      <c r="A13" s="196"/>
      <c r="B13" s="196" t="s">
        <v>44</v>
      </c>
      <c r="C13" s="197">
        <v>0</v>
      </c>
      <c r="D13" s="199">
        <v>3310</v>
      </c>
      <c r="E13" s="197">
        <v>0</v>
      </c>
      <c r="F13" s="197"/>
    </row>
    <row r="14" spans="1:6" ht="15.75" x14ac:dyDescent="0.25">
      <c r="A14" s="196"/>
      <c r="B14" s="196" t="s">
        <v>46</v>
      </c>
      <c r="C14" s="197">
        <v>0</v>
      </c>
      <c r="D14" s="199">
        <v>1020</v>
      </c>
      <c r="E14" s="197">
        <v>0</v>
      </c>
      <c r="F14" s="197"/>
    </row>
    <row r="15" spans="1:6" ht="15.75" x14ac:dyDescent="0.25">
      <c r="A15" s="196"/>
      <c r="B15" s="196" t="s">
        <v>49</v>
      </c>
      <c r="C15" s="202">
        <v>3572.5</v>
      </c>
      <c r="D15" s="199">
        <v>1244.32</v>
      </c>
      <c r="E15" s="202">
        <v>2600</v>
      </c>
      <c r="F15" s="197"/>
    </row>
    <row r="16" spans="1:6" ht="15.75" x14ac:dyDescent="0.25">
      <c r="A16" s="196"/>
      <c r="B16" s="196" t="s">
        <v>263</v>
      </c>
      <c r="C16" s="197">
        <v>90</v>
      </c>
      <c r="D16" s="199"/>
      <c r="E16" s="197">
        <v>1300</v>
      </c>
      <c r="F16" s="197" t="s">
        <v>292</v>
      </c>
    </row>
    <row r="17" spans="1:6" ht="15.75" x14ac:dyDescent="0.25">
      <c r="A17" s="196"/>
      <c r="B17" s="196" t="s">
        <v>51</v>
      </c>
      <c r="C17" s="197">
        <v>0</v>
      </c>
      <c r="D17" s="198">
        <v>-126</v>
      </c>
      <c r="E17" s="197">
        <v>-200</v>
      </c>
      <c r="F17" s="197"/>
    </row>
    <row r="18" spans="1:6" ht="15.75" x14ac:dyDescent="0.25">
      <c r="A18" s="246" t="s">
        <v>53</v>
      </c>
      <c r="B18" s="246"/>
      <c r="C18" s="203">
        <f>SUM(C5, C6, C10:C17)</f>
        <v>24761.3</v>
      </c>
      <c r="D18" s="204">
        <f>ROUND(SUM(D4:D17),5)</f>
        <v>61199.87</v>
      </c>
      <c r="E18" s="203">
        <f>ROUND(SUM(E5:E17),5)</f>
        <v>24200</v>
      </c>
      <c r="F18" s="203"/>
    </row>
    <row r="19" spans="1:6" ht="15.75" x14ac:dyDescent="0.25">
      <c r="A19" s="246" t="s">
        <v>6</v>
      </c>
      <c r="B19" s="246"/>
      <c r="C19" s="197"/>
      <c r="D19" s="198"/>
      <c r="E19" s="197"/>
      <c r="F19" s="197"/>
    </row>
    <row r="20" spans="1:6" ht="15.75" x14ac:dyDescent="0.25">
      <c r="A20" s="196"/>
      <c r="B20" s="196" t="s">
        <v>54</v>
      </c>
      <c r="C20" s="197">
        <f>SUM(C21:C26)</f>
        <v>2785.6099999999997</v>
      </c>
      <c r="D20" s="198">
        <f>SUM(D21:D26)</f>
        <v>3209.01</v>
      </c>
      <c r="E20" s="197">
        <f>SUM(E21:E26)</f>
        <v>2950</v>
      </c>
      <c r="F20" s="197"/>
    </row>
    <row r="21" spans="1:6" x14ac:dyDescent="0.25">
      <c r="A21" s="200"/>
      <c r="B21" s="200" t="s">
        <v>216</v>
      </c>
      <c r="C21" s="198">
        <v>1440</v>
      </c>
      <c r="D21" s="198">
        <v>1380</v>
      </c>
      <c r="E21" s="198">
        <v>1400</v>
      </c>
      <c r="F21" s="198"/>
    </row>
    <row r="22" spans="1:6" x14ac:dyDescent="0.25">
      <c r="A22" s="200"/>
      <c r="B22" s="200" t="s">
        <v>215</v>
      </c>
      <c r="C22" s="198">
        <v>645.62</v>
      </c>
      <c r="D22" s="198">
        <v>1081.9000000000001</v>
      </c>
      <c r="E22" s="198">
        <v>800</v>
      </c>
      <c r="F22" s="198"/>
    </row>
    <row r="23" spans="1:6" x14ac:dyDescent="0.25">
      <c r="A23" s="200"/>
      <c r="B23" s="200" t="s">
        <v>214</v>
      </c>
      <c r="C23" s="198">
        <v>67.5</v>
      </c>
      <c r="D23" s="198">
        <v>149.5</v>
      </c>
      <c r="E23" s="198">
        <v>100</v>
      </c>
      <c r="F23" s="198"/>
    </row>
    <row r="24" spans="1:6" x14ac:dyDescent="0.25">
      <c r="A24" s="200"/>
      <c r="B24" s="200" t="s">
        <v>212</v>
      </c>
      <c r="C24" s="198">
        <v>590</v>
      </c>
      <c r="D24" s="198">
        <v>601</v>
      </c>
      <c r="E24" s="198">
        <v>600</v>
      </c>
      <c r="F24" s="198"/>
    </row>
    <row r="25" spans="1:6" x14ac:dyDescent="0.25">
      <c r="A25" s="200"/>
      <c r="B25" s="200" t="s">
        <v>282</v>
      </c>
      <c r="C25" s="198">
        <v>-3.51</v>
      </c>
      <c r="D25" s="198">
        <v>-18.39</v>
      </c>
      <c r="E25" s="198">
        <v>0</v>
      </c>
      <c r="F25" s="198"/>
    </row>
    <row r="26" spans="1:6" x14ac:dyDescent="0.25">
      <c r="A26" s="200"/>
      <c r="B26" s="200" t="s">
        <v>211</v>
      </c>
      <c r="C26" s="198">
        <v>46</v>
      </c>
      <c r="D26" s="198">
        <v>15</v>
      </c>
      <c r="E26" s="198">
        <v>50</v>
      </c>
      <c r="F26" s="198"/>
    </row>
    <row r="27" spans="1:6" ht="31.5" x14ac:dyDescent="0.25">
      <c r="A27" s="196"/>
      <c r="B27" s="196" t="s">
        <v>55</v>
      </c>
      <c r="C27" s="197">
        <v>9414.3700000000008</v>
      </c>
      <c r="D27" s="198">
        <v>46594.66</v>
      </c>
      <c r="E27" s="197">
        <v>23000</v>
      </c>
      <c r="F27" s="225" t="s">
        <v>308</v>
      </c>
    </row>
    <row r="28" spans="1:6" ht="15.75" x14ac:dyDescent="0.25">
      <c r="A28" s="196"/>
      <c r="B28" s="196" t="s">
        <v>56</v>
      </c>
      <c r="C28" s="197">
        <v>0</v>
      </c>
      <c r="D28" s="198">
        <v>944.92</v>
      </c>
      <c r="E28" s="197">
        <v>1000</v>
      </c>
      <c r="F28" s="202"/>
    </row>
    <row r="29" spans="1:6" ht="15.75" x14ac:dyDescent="0.25">
      <c r="A29" s="196"/>
      <c r="B29" s="196" t="s">
        <v>57</v>
      </c>
      <c r="C29" s="197">
        <v>0</v>
      </c>
      <c r="D29" s="198">
        <v>0</v>
      </c>
      <c r="E29" s="197">
        <v>2700</v>
      </c>
      <c r="F29" s="202"/>
    </row>
    <row r="30" spans="1:6" ht="15.75" x14ac:dyDescent="0.25">
      <c r="A30" s="196"/>
      <c r="B30" s="196" t="s">
        <v>58</v>
      </c>
      <c r="C30" s="197">
        <v>0</v>
      </c>
      <c r="D30" s="198">
        <v>6000</v>
      </c>
      <c r="E30" s="197">
        <v>0</v>
      </c>
      <c r="F30" s="202"/>
    </row>
    <row r="31" spans="1:6" ht="15.75" x14ac:dyDescent="0.25">
      <c r="A31" s="196"/>
      <c r="B31" s="196" t="s">
        <v>59</v>
      </c>
      <c r="C31" s="197">
        <f>SUM(C32:C33)</f>
        <v>500</v>
      </c>
      <c r="D31" s="198">
        <v>296.98</v>
      </c>
      <c r="E31" s="197">
        <f>SUM(E32:E33)</f>
        <v>350</v>
      </c>
      <c r="F31" s="202"/>
    </row>
    <row r="32" spans="1:6" x14ac:dyDescent="0.25">
      <c r="A32" s="205"/>
      <c r="B32" s="200" t="s">
        <v>220</v>
      </c>
      <c r="C32" s="198">
        <v>0</v>
      </c>
      <c r="D32" s="198">
        <v>296.98</v>
      </c>
      <c r="E32" s="198">
        <v>0</v>
      </c>
      <c r="F32" s="199"/>
    </row>
    <row r="33" spans="1:6" x14ac:dyDescent="0.25">
      <c r="A33" s="205"/>
      <c r="B33" s="200" t="s">
        <v>221</v>
      </c>
      <c r="C33" s="198">
        <v>500</v>
      </c>
      <c r="D33" s="199">
        <v>0</v>
      </c>
      <c r="E33" s="198">
        <v>350</v>
      </c>
      <c r="F33" s="199" t="s">
        <v>314</v>
      </c>
    </row>
    <row r="34" spans="1:6" ht="15.75" x14ac:dyDescent="0.25">
      <c r="A34" s="196"/>
      <c r="B34" s="196" t="s">
        <v>62</v>
      </c>
      <c r="C34" s="197">
        <v>0</v>
      </c>
      <c r="D34" s="199">
        <v>10000</v>
      </c>
      <c r="E34" s="197">
        <v>0</v>
      </c>
      <c r="F34" s="202"/>
    </row>
    <row r="35" spans="1:6" ht="15.75" x14ac:dyDescent="0.25">
      <c r="A35" s="196"/>
      <c r="B35" s="196" t="s">
        <v>205</v>
      </c>
      <c r="C35" s="197"/>
      <c r="D35" s="199">
        <v>2250</v>
      </c>
      <c r="E35" s="197">
        <v>3000</v>
      </c>
      <c r="F35" s="202"/>
    </row>
    <row r="36" spans="1:6" ht="15.75" x14ac:dyDescent="0.25">
      <c r="A36" s="196"/>
      <c r="B36" s="196" t="s">
        <v>63</v>
      </c>
      <c r="C36" s="202">
        <f>SUM(C37:C39)</f>
        <v>938.42</v>
      </c>
      <c r="D36" s="199">
        <f>SUM(D37:D39)</f>
        <v>5027.97</v>
      </c>
      <c r="E36" s="202">
        <f>SUM(E37:E39)</f>
        <v>8600</v>
      </c>
      <c r="F36" s="202"/>
    </row>
    <row r="37" spans="1:6" x14ac:dyDescent="0.25">
      <c r="A37" s="205"/>
      <c r="B37" s="200" t="s">
        <v>217</v>
      </c>
      <c r="C37" s="198"/>
      <c r="D37" s="199">
        <v>2027.97</v>
      </c>
      <c r="E37" s="198">
        <v>2100</v>
      </c>
      <c r="F37" s="199"/>
    </row>
    <row r="38" spans="1:6" ht="30" x14ac:dyDescent="0.25">
      <c r="A38" s="205"/>
      <c r="B38" s="200" t="s">
        <v>218</v>
      </c>
      <c r="C38" s="198"/>
      <c r="D38" s="199">
        <v>3000</v>
      </c>
      <c r="E38" s="198">
        <v>5000</v>
      </c>
      <c r="F38" s="226" t="s">
        <v>309</v>
      </c>
    </row>
    <row r="39" spans="1:6" x14ac:dyDescent="0.25">
      <c r="A39" s="205"/>
      <c r="B39" s="200" t="s">
        <v>219</v>
      </c>
      <c r="C39" s="198">
        <v>938.42</v>
      </c>
      <c r="D39" s="199">
        <v>0</v>
      </c>
      <c r="E39" s="198">
        <v>1500</v>
      </c>
      <c r="F39" s="199" t="s">
        <v>313</v>
      </c>
    </row>
    <row r="40" spans="1:6" ht="15.75" x14ac:dyDescent="0.25">
      <c r="A40" s="196"/>
      <c r="B40" s="196" t="s">
        <v>68</v>
      </c>
      <c r="C40" s="197">
        <v>1250</v>
      </c>
      <c r="D40" s="199">
        <v>1750.77</v>
      </c>
      <c r="E40" s="197">
        <v>3000</v>
      </c>
      <c r="F40" s="202" t="s">
        <v>296</v>
      </c>
    </row>
    <row r="41" spans="1:6" ht="15.75" x14ac:dyDescent="0.25">
      <c r="A41" s="246" t="s">
        <v>69</v>
      </c>
      <c r="B41" s="246"/>
      <c r="C41" s="203">
        <f>SUM(C20, C27, C28, C29, C30, C31, C34, C35, C36, C40)</f>
        <v>14888.4</v>
      </c>
      <c r="D41" s="204">
        <f>SUM(D20, D27, D28, D29, D30, D31, D34, D35, D36, D40)</f>
        <v>76074.310000000012</v>
      </c>
      <c r="E41" s="203">
        <f>SUM(E20, E27, E28, E29, E30, E31, E34, E35, E36, E40)</f>
        <v>44600</v>
      </c>
      <c r="F41" s="203"/>
    </row>
    <row r="42" spans="1:6" ht="15.75" x14ac:dyDescent="0.25">
      <c r="A42" s="196"/>
      <c r="B42" s="196"/>
      <c r="C42" s="206">
        <f>ROUND(C18-C41,5)</f>
        <v>9872.9</v>
      </c>
      <c r="D42" s="207">
        <f>ROUND(D18-D41,5)</f>
        <v>-14874.44</v>
      </c>
      <c r="E42" s="206">
        <f>ROUND(E18-E41,5)</f>
        <v>-20400</v>
      </c>
      <c r="F42" s="206"/>
    </row>
    <row r="43" spans="1:6" ht="15.75" x14ac:dyDescent="0.25">
      <c r="A43" s="208"/>
      <c r="B43" s="208"/>
      <c r="C43" s="208"/>
      <c r="D43" s="208"/>
      <c r="E43" s="208"/>
      <c r="F43" s="208"/>
    </row>
    <row r="44" spans="1:6" ht="15.75" x14ac:dyDescent="0.25">
      <c r="A44" s="208"/>
      <c r="B44" s="209" t="s">
        <v>93</v>
      </c>
      <c r="C44" s="209"/>
      <c r="D44" s="209"/>
      <c r="E44" s="209"/>
      <c r="F44" s="209"/>
    </row>
    <row r="45" spans="1:6" ht="15.75" x14ac:dyDescent="0.25">
      <c r="A45" s="208"/>
      <c r="B45" s="208" t="s">
        <v>274</v>
      </c>
      <c r="C45" s="208"/>
      <c r="D45" s="210">
        <v>53336.11</v>
      </c>
      <c r="E45" s="210"/>
      <c r="F45" s="210"/>
    </row>
    <row r="46" spans="1:6" ht="15.75" x14ac:dyDescent="0.25">
      <c r="A46" s="208"/>
      <c r="B46" s="208" t="s">
        <v>95</v>
      </c>
      <c r="C46" s="208"/>
      <c r="D46" s="210">
        <f>C42</f>
        <v>9872.9</v>
      </c>
      <c r="E46" s="210"/>
      <c r="F46" s="210"/>
    </row>
    <row r="47" spans="1:6" ht="15.75" x14ac:dyDescent="0.25">
      <c r="A47" s="208"/>
      <c r="B47" s="211" t="s">
        <v>311</v>
      </c>
      <c r="C47" s="208"/>
      <c r="D47" s="210">
        <f>SUM(D45:D46)</f>
        <v>63209.01</v>
      </c>
      <c r="E47" s="210"/>
      <c r="F47" s="210"/>
    </row>
    <row r="48" spans="1:6" ht="16.5" thickBot="1" x14ac:dyDescent="0.3">
      <c r="A48" s="212"/>
      <c r="B48" s="212"/>
      <c r="C48" s="213"/>
      <c r="D48" s="213"/>
      <c r="E48" s="213"/>
      <c r="F48" s="212"/>
    </row>
    <row r="49" spans="1:6" ht="15.75" x14ac:dyDescent="0.25">
      <c r="A49" s="212"/>
      <c r="B49" s="214" t="s">
        <v>312</v>
      </c>
      <c r="C49" s="215"/>
      <c r="D49" s="216"/>
      <c r="E49" s="217"/>
      <c r="F49" s="217"/>
    </row>
    <row r="50" spans="1:6" ht="15.75" x14ac:dyDescent="0.25">
      <c r="A50" s="212"/>
      <c r="B50" s="218" t="s">
        <v>240</v>
      </c>
      <c r="C50" s="217"/>
      <c r="D50" s="219">
        <v>34806.25</v>
      </c>
      <c r="E50" s="217"/>
      <c r="F50" s="217"/>
    </row>
    <row r="51" spans="1:6" ht="15.75" x14ac:dyDescent="0.25">
      <c r="A51" s="212"/>
      <c r="B51" s="218" t="s">
        <v>241</v>
      </c>
      <c r="C51" s="217"/>
      <c r="D51" s="219">
        <v>28402.76</v>
      </c>
      <c r="E51" s="217"/>
      <c r="F51" s="217"/>
    </row>
    <row r="52" spans="1:6" ht="16.5" thickBot="1" x14ac:dyDescent="0.3">
      <c r="A52" s="212"/>
      <c r="B52" s="220" t="s">
        <v>242</v>
      </c>
      <c r="C52" s="221"/>
      <c r="D52" s="222">
        <f>SUM(D50:D51)</f>
        <v>63209.009999999995</v>
      </c>
      <c r="E52" s="217"/>
      <c r="F52" s="217"/>
    </row>
  </sheetData>
  <mergeCells count="5">
    <mergeCell ref="A1:F2"/>
    <mergeCell ref="A4:B4"/>
    <mergeCell ref="A18:B18"/>
    <mergeCell ref="A19:B19"/>
    <mergeCell ref="A41:B41"/>
  </mergeCells>
  <pageMargins left="0.25" right="0.25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E352C-2558-49F0-B62C-4A93F1BFB089}">
  <sheetPr>
    <pageSetUpPr fitToPage="1"/>
  </sheetPr>
  <dimension ref="A1:F52"/>
  <sheetViews>
    <sheetView workbookViewId="0">
      <selection activeCell="F39" sqref="F39"/>
    </sheetView>
  </sheetViews>
  <sheetFormatPr defaultColWidth="9.140625" defaultRowHeight="15" x14ac:dyDescent="0.25"/>
  <cols>
    <col min="1" max="1" width="3.28515625" style="189" customWidth="1"/>
    <col min="2" max="2" width="46.7109375" style="189" bestFit="1" customWidth="1"/>
    <col min="3" max="3" width="17" style="189" bestFit="1" customWidth="1"/>
    <col min="4" max="4" width="16.5703125" style="189" bestFit="1" customWidth="1"/>
    <col min="5" max="5" width="17.5703125" style="189" bestFit="1" customWidth="1"/>
    <col min="6" max="6" width="65" style="189" bestFit="1" customWidth="1"/>
    <col min="7" max="16384" width="9.140625" style="189"/>
  </cols>
  <sheetData>
    <row r="1" spans="1:6" ht="19.5" customHeight="1" x14ac:dyDescent="0.25">
      <c r="A1" s="247" t="s">
        <v>303</v>
      </c>
      <c r="B1" s="248"/>
      <c r="C1" s="248"/>
      <c r="D1" s="248"/>
      <c r="E1" s="248"/>
      <c r="F1" s="249"/>
    </row>
    <row r="2" spans="1:6" ht="19.5" customHeight="1" x14ac:dyDescent="0.25">
      <c r="A2" s="250"/>
      <c r="B2" s="251"/>
      <c r="C2" s="251"/>
      <c r="D2" s="251"/>
      <c r="E2" s="251"/>
      <c r="F2" s="252"/>
    </row>
    <row r="3" spans="1:6" ht="47.25" x14ac:dyDescent="0.25">
      <c r="A3" s="190"/>
      <c r="B3" s="190"/>
      <c r="C3" s="191" t="s">
        <v>288</v>
      </c>
      <c r="D3" s="192" t="s">
        <v>289</v>
      </c>
      <c r="E3" s="191" t="s">
        <v>290</v>
      </c>
      <c r="F3" s="193" t="s">
        <v>291</v>
      </c>
    </row>
    <row r="4" spans="1:6" ht="15.75" x14ac:dyDescent="0.25">
      <c r="A4" s="246" t="s">
        <v>4</v>
      </c>
      <c r="B4" s="246"/>
      <c r="C4" s="194"/>
      <c r="D4" s="195"/>
      <c r="E4" s="194"/>
      <c r="F4" s="194"/>
    </row>
    <row r="5" spans="1:6" ht="15.75" x14ac:dyDescent="0.25">
      <c r="A5" s="196"/>
      <c r="B5" s="196" t="s">
        <v>272</v>
      </c>
      <c r="C5" s="197">
        <v>5823.75</v>
      </c>
      <c r="D5" s="198">
        <v>13735.87</v>
      </c>
      <c r="E5" s="197">
        <v>5000</v>
      </c>
      <c r="F5" s="197"/>
    </row>
    <row r="6" spans="1:6" ht="15.75" x14ac:dyDescent="0.25">
      <c r="A6" s="196"/>
      <c r="B6" s="196" t="s">
        <v>11</v>
      </c>
      <c r="C6" s="197">
        <f>SUM(C7:C9)</f>
        <v>14857.19</v>
      </c>
      <c r="D6" s="199">
        <v>19064.89</v>
      </c>
      <c r="E6" s="197">
        <v>11000</v>
      </c>
      <c r="F6" s="197"/>
    </row>
    <row r="7" spans="1:6" x14ac:dyDescent="0.25">
      <c r="B7" s="200" t="s">
        <v>301</v>
      </c>
      <c r="C7" s="223">
        <v>15707.19</v>
      </c>
      <c r="D7" s="223"/>
      <c r="E7" s="223"/>
      <c r="F7" s="224" t="s">
        <v>306</v>
      </c>
    </row>
    <row r="8" spans="1:6" ht="15.75" x14ac:dyDescent="0.25">
      <c r="A8" s="196"/>
      <c r="B8" s="200" t="s">
        <v>299</v>
      </c>
      <c r="C8" s="198">
        <v>0</v>
      </c>
      <c r="D8" s="199"/>
      <c r="E8" s="198"/>
      <c r="F8" s="197" t="s">
        <v>300</v>
      </c>
    </row>
    <row r="9" spans="1:6" ht="15.75" x14ac:dyDescent="0.25">
      <c r="A9" s="196"/>
      <c r="B9" s="200" t="s">
        <v>298</v>
      </c>
      <c r="C9" s="198">
        <v>-850</v>
      </c>
      <c r="D9" s="199"/>
      <c r="E9" s="198"/>
      <c r="F9" s="197"/>
    </row>
    <row r="10" spans="1:6" ht="15.75" x14ac:dyDescent="0.25">
      <c r="A10" s="196"/>
      <c r="B10" s="196" t="s">
        <v>285</v>
      </c>
      <c r="C10" s="197"/>
      <c r="D10" s="199">
        <v>5247</v>
      </c>
      <c r="E10" s="197">
        <v>2500</v>
      </c>
      <c r="F10" s="197"/>
    </row>
    <row r="11" spans="1:6" ht="15.75" x14ac:dyDescent="0.25">
      <c r="A11" s="196"/>
      <c r="B11" s="196" t="s">
        <v>202</v>
      </c>
      <c r="C11" s="197">
        <v>0</v>
      </c>
      <c r="D11" s="199">
        <v>18088.48</v>
      </c>
      <c r="E11" s="197">
        <v>0</v>
      </c>
      <c r="F11" s="197"/>
    </row>
    <row r="12" spans="1:6" ht="15.75" x14ac:dyDescent="0.25">
      <c r="A12" s="196"/>
      <c r="B12" s="196" t="s">
        <v>203</v>
      </c>
      <c r="C12" s="197">
        <v>0</v>
      </c>
      <c r="D12" s="199">
        <v>-384.69</v>
      </c>
      <c r="E12" s="197">
        <v>2000</v>
      </c>
      <c r="F12" s="197"/>
    </row>
    <row r="13" spans="1:6" ht="15.75" x14ac:dyDescent="0.25">
      <c r="A13" s="196"/>
      <c r="B13" s="196" t="s">
        <v>44</v>
      </c>
      <c r="C13" s="197">
        <v>0</v>
      </c>
      <c r="D13" s="199">
        <v>3310</v>
      </c>
      <c r="E13" s="197">
        <v>0</v>
      </c>
      <c r="F13" s="197"/>
    </row>
    <row r="14" spans="1:6" ht="15.75" x14ac:dyDescent="0.25">
      <c r="A14" s="196"/>
      <c r="B14" s="196" t="s">
        <v>46</v>
      </c>
      <c r="C14" s="197">
        <v>0</v>
      </c>
      <c r="D14" s="199">
        <v>1020</v>
      </c>
      <c r="E14" s="197">
        <v>0</v>
      </c>
      <c r="F14" s="197"/>
    </row>
    <row r="15" spans="1:6" ht="15.75" x14ac:dyDescent="0.25">
      <c r="A15" s="196"/>
      <c r="B15" s="196" t="s">
        <v>49</v>
      </c>
      <c r="C15" s="202">
        <v>3572.5</v>
      </c>
      <c r="D15" s="199">
        <v>1244.32</v>
      </c>
      <c r="E15" s="202">
        <v>2600</v>
      </c>
      <c r="F15" s="197"/>
    </row>
    <row r="16" spans="1:6" ht="15.75" x14ac:dyDescent="0.25">
      <c r="A16" s="196"/>
      <c r="B16" s="196" t="s">
        <v>263</v>
      </c>
      <c r="C16" s="197">
        <v>90</v>
      </c>
      <c r="D16" s="199"/>
      <c r="E16" s="197">
        <v>1300</v>
      </c>
      <c r="F16" s="197" t="s">
        <v>292</v>
      </c>
    </row>
    <row r="17" spans="1:6" ht="15.75" x14ac:dyDescent="0.25">
      <c r="A17" s="196"/>
      <c r="B17" s="196" t="s">
        <v>51</v>
      </c>
      <c r="C17" s="197">
        <v>0</v>
      </c>
      <c r="D17" s="198">
        <v>-126</v>
      </c>
      <c r="E17" s="197">
        <v>-200</v>
      </c>
      <c r="F17" s="197"/>
    </row>
    <row r="18" spans="1:6" ht="15.75" x14ac:dyDescent="0.25">
      <c r="A18" s="246" t="s">
        <v>53</v>
      </c>
      <c r="B18" s="246"/>
      <c r="C18" s="203">
        <f>SUM(C5, C6, C10:C17)</f>
        <v>24343.440000000002</v>
      </c>
      <c r="D18" s="204">
        <f>ROUND(SUM(D4:D17),5)</f>
        <v>61199.87</v>
      </c>
      <c r="E18" s="203">
        <f>ROUND(SUM(E5:E17),5)</f>
        <v>24200</v>
      </c>
      <c r="F18" s="203"/>
    </row>
    <row r="19" spans="1:6" ht="15.75" x14ac:dyDescent="0.25">
      <c r="A19" s="246" t="s">
        <v>6</v>
      </c>
      <c r="B19" s="246"/>
      <c r="C19" s="197"/>
      <c r="D19" s="198"/>
      <c r="E19" s="197"/>
      <c r="F19" s="197"/>
    </row>
    <row r="20" spans="1:6" ht="15.75" x14ac:dyDescent="0.25">
      <c r="A20" s="196"/>
      <c r="B20" s="196" t="s">
        <v>54</v>
      </c>
      <c r="C20" s="197">
        <f>SUM(C21:C26)</f>
        <v>2680.54</v>
      </c>
      <c r="D20" s="198">
        <f>SUM(D21:D26)</f>
        <v>3209.01</v>
      </c>
      <c r="E20" s="197">
        <f>SUM(E21:E26)</f>
        <v>2950</v>
      </c>
      <c r="F20" s="197"/>
    </row>
    <row r="21" spans="1:6" x14ac:dyDescent="0.25">
      <c r="A21" s="200"/>
      <c r="B21" s="200" t="s">
        <v>216</v>
      </c>
      <c r="C21" s="198">
        <v>1440</v>
      </c>
      <c r="D21" s="198">
        <v>1380</v>
      </c>
      <c r="E21" s="198">
        <v>1400</v>
      </c>
      <c r="F21" s="198"/>
    </row>
    <row r="22" spans="1:6" x14ac:dyDescent="0.25">
      <c r="A22" s="200"/>
      <c r="B22" s="200" t="s">
        <v>215</v>
      </c>
      <c r="C22" s="198">
        <v>585.62</v>
      </c>
      <c r="D22" s="198">
        <v>1081.9000000000001</v>
      </c>
      <c r="E22" s="198">
        <v>800</v>
      </c>
      <c r="F22" s="198"/>
    </row>
    <row r="23" spans="1:6" x14ac:dyDescent="0.25">
      <c r="A23" s="200"/>
      <c r="B23" s="200" t="s">
        <v>214</v>
      </c>
      <c r="C23" s="198">
        <v>52.5</v>
      </c>
      <c r="D23" s="198">
        <v>149.5</v>
      </c>
      <c r="E23" s="198">
        <v>100</v>
      </c>
      <c r="F23" s="198"/>
    </row>
    <row r="24" spans="1:6" x14ac:dyDescent="0.25">
      <c r="A24" s="200"/>
      <c r="B24" s="200" t="s">
        <v>212</v>
      </c>
      <c r="C24" s="198">
        <v>590</v>
      </c>
      <c r="D24" s="198">
        <v>601</v>
      </c>
      <c r="E24" s="198">
        <v>600</v>
      </c>
      <c r="F24" s="198"/>
    </row>
    <row r="25" spans="1:6" x14ac:dyDescent="0.25">
      <c r="A25" s="200"/>
      <c r="B25" s="200" t="s">
        <v>282</v>
      </c>
      <c r="C25" s="198">
        <v>-2.58</v>
      </c>
      <c r="D25" s="198">
        <v>-18.39</v>
      </c>
      <c r="E25" s="198">
        <v>0</v>
      </c>
      <c r="F25" s="198"/>
    </row>
    <row r="26" spans="1:6" x14ac:dyDescent="0.25">
      <c r="A26" s="200"/>
      <c r="B26" s="200" t="s">
        <v>211</v>
      </c>
      <c r="C26" s="198">
        <v>15</v>
      </c>
      <c r="D26" s="198">
        <v>15</v>
      </c>
      <c r="E26" s="198">
        <v>50</v>
      </c>
      <c r="F26" s="198"/>
    </row>
    <row r="27" spans="1:6" ht="31.5" x14ac:dyDescent="0.25">
      <c r="A27" s="196"/>
      <c r="B27" s="196" t="s">
        <v>55</v>
      </c>
      <c r="C27" s="197">
        <v>4439.97</v>
      </c>
      <c r="D27" s="198">
        <v>46594.66</v>
      </c>
      <c r="E27" s="197">
        <v>23000</v>
      </c>
      <c r="F27" s="225" t="s">
        <v>308</v>
      </c>
    </row>
    <row r="28" spans="1:6" ht="15.75" x14ac:dyDescent="0.25">
      <c r="A28" s="196"/>
      <c r="B28" s="196" t="s">
        <v>56</v>
      </c>
      <c r="C28" s="197">
        <v>0</v>
      </c>
      <c r="D28" s="198">
        <v>944.92</v>
      </c>
      <c r="E28" s="197">
        <v>1000</v>
      </c>
      <c r="F28" s="202"/>
    </row>
    <row r="29" spans="1:6" ht="15.75" x14ac:dyDescent="0.25">
      <c r="A29" s="196"/>
      <c r="B29" s="196" t="s">
        <v>57</v>
      </c>
      <c r="C29" s="197">
        <v>0</v>
      </c>
      <c r="D29" s="198">
        <v>0</v>
      </c>
      <c r="E29" s="197">
        <v>2700</v>
      </c>
      <c r="F29" s="202"/>
    </row>
    <row r="30" spans="1:6" ht="15.75" x14ac:dyDescent="0.25">
      <c r="A30" s="196"/>
      <c r="B30" s="196" t="s">
        <v>58</v>
      </c>
      <c r="C30" s="197">
        <v>0</v>
      </c>
      <c r="D30" s="198">
        <v>6000</v>
      </c>
      <c r="E30" s="197">
        <v>0</v>
      </c>
      <c r="F30" s="202"/>
    </row>
    <row r="31" spans="1:6" ht="15.75" x14ac:dyDescent="0.25">
      <c r="A31" s="196"/>
      <c r="B31" s="196" t="s">
        <v>59</v>
      </c>
      <c r="C31" s="197">
        <f>SUM(C32:C33)</f>
        <v>0</v>
      </c>
      <c r="D31" s="198">
        <v>296.98</v>
      </c>
      <c r="E31" s="197">
        <f>SUM(E32:E33)</f>
        <v>350</v>
      </c>
      <c r="F31" s="202"/>
    </row>
    <row r="32" spans="1:6" x14ac:dyDescent="0.25">
      <c r="A32" s="205"/>
      <c r="B32" s="200" t="s">
        <v>220</v>
      </c>
      <c r="C32" s="198">
        <v>0</v>
      </c>
      <c r="D32" s="198">
        <v>296.98</v>
      </c>
      <c r="E32" s="198">
        <v>0</v>
      </c>
      <c r="F32" s="199"/>
    </row>
    <row r="33" spans="1:6" x14ac:dyDescent="0.25">
      <c r="A33" s="205"/>
      <c r="B33" s="200" t="s">
        <v>221</v>
      </c>
      <c r="C33" s="198">
        <v>0</v>
      </c>
      <c r="D33" s="199">
        <v>0</v>
      </c>
      <c r="E33" s="198">
        <v>350</v>
      </c>
      <c r="F33" s="199"/>
    </row>
    <row r="34" spans="1:6" ht="15.75" x14ac:dyDescent="0.25">
      <c r="A34" s="196"/>
      <c r="B34" s="196" t="s">
        <v>62</v>
      </c>
      <c r="C34" s="197">
        <v>0</v>
      </c>
      <c r="D34" s="199">
        <v>10000</v>
      </c>
      <c r="E34" s="197">
        <v>0</v>
      </c>
      <c r="F34" s="202"/>
    </row>
    <row r="35" spans="1:6" ht="15.75" x14ac:dyDescent="0.25">
      <c r="A35" s="196"/>
      <c r="B35" s="196" t="s">
        <v>205</v>
      </c>
      <c r="C35" s="197"/>
      <c r="D35" s="199">
        <v>2250</v>
      </c>
      <c r="E35" s="197">
        <v>3000</v>
      </c>
      <c r="F35" s="202"/>
    </row>
    <row r="36" spans="1:6" ht="15.75" x14ac:dyDescent="0.25">
      <c r="A36" s="196"/>
      <c r="B36" s="196" t="s">
        <v>63</v>
      </c>
      <c r="C36" s="202">
        <f>SUM(C37:C39)</f>
        <v>200</v>
      </c>
      <c r="D36" s="199">
        <f>SUM(D37:D39)</f>
        <v>5027.97</v>
      </c>
      <c r="E36" s="202">
        <f>SUM(E37:E39)</f>
        <v>8600</v>
      </c>
      <c r="F36" s="202"/>
    </row>
    <row r="37" spans="1:6" x14ac:dyDescent="0.25">
      <c r="A37" s="205"/>
      <c r="B37" s="200" t="s">
        <v>217</v>
      </c>
      <c r="C37" s="198"/>
      <c r="D37" s="199">
        <v>2027.97</v>
      </c>
      <c r="E37" s="198">
        <v>2100</v>
      </c>
      <c r="F37" s="199"/>
    </row>
    <row r="38" spans="1:6" ht="30" x14ac:dyDescent="0.25">
      <c r="A38" s="205"/>
      <c r="B38" s="200" t="s">
        <v>218</v>
      </c>
      <c r="C38" s="198"/>
      <c r="D38" s="199">
        <v>3000</v>
      </c>
      <c r="E38" s="198">
        <v>5000</v>
      </c>
      <c r="F38" s="226" t="s">
        <v>309</v>
      </c>
    </row>
    <row r="39" spans="1:6" x14ac:dyDescent="0.25">
      <c r="A39" s="205"/>
      <c r="B39" s="200" t="s">
        <v>219</v>
      </c>
      <c r="C39" s="198">
        <v>200</v>
      </c>
      <c r="D39" s="199">
        <v>0</v>
      </c>
      <c r="E39" s="198">
        <v>1500</v>
      </c>
      <c r="F39" s="199" t="s">
        <v>295</v>
      </c>
    </row>
    <row r="40" spans="1:6" ht="15.75" x14ac:dyDescent="0.25">
      <c r="A40" s="196"/>
      <c r="B40" s="196" t="s">
        <v>68</v>
      </c>
      <c r="C40" s="197">
        <v>1250</v>
      </c>
      <c r="D40" s="199">
        <v>1750.77</v>
      </c>
      <c r="E40" s="197">
        <v>3000</v>
      </c>
      <c r="F40" s="202" t="s">
        <v>296</v>
      </c>
    </row>
    <row r="41" spans="1:6" ht="15.75" x14ac:dyDescent="0.25">
      <c r="A41" s="246" t="s">
        <v>69</v>
      </c>
      <c r="B41" s="246"/>
      <c r="C41" s="203">
        <f>SUM(C20, C27, C28, C29, C30, C31, C34, C35, C36, C40)</f>
        <v>8570.51</v>
      </c>
      <c r="D41" s="204">
        <f>SUM(D20, D27, D28, D29, D30, D31, D34, D35, D36, D40)</f>
        <v>76074.310000000012</v>
      </c>
      <c r="E41" s="203">
        <f>SUM(E20, E27, E28, E29, E30, E31, E34, E35, E36, E40)</f>
        <v>44600</v>
      </c>
      <c r="F41" s="203"/>
    </row>
    <row r="42" spans="1:6" ht="15.75" x14ac:dyDescent="0.25">
      <c r="A42" s="196"/>
      <c r="B42" s="196"/>
      <c r="C42" s="206">
        <f>ROUND(C18-C41,5)</f>
        <v>15772.93</v>
      </c>
      <c r="D42" s="207">
        <f>ROUND(D18-D41,5)</f>
        <v>-14874.44</v>
      </c>
      <c r="E42" s="206">
        <f>ROUND(E18-E41,5)</f>
        <v>-20400</v>
      </c>
      <c r="F42" s="206"/>
    </row>
    <row r="43" spans="1:6" ht="15.75" x14ac:dyDescent="0.25">
      <c r="A43" s="208"/>
      <c r="B43" s="208"/>
      <c r="C43" s="208"/>
      <c r="D43" s="208"/>
      <c r="E43" s="208"/>
      <c r="F43" s="208"/>
    </row>
    <row r="44" spans="1:6" ht="15.75" x14ac:dyDescent="0.25">
      <c r="A44" s="208"/>
      <c r="B44" s="209" t="s">
        <v>93</v>
      </c>
      <c r="C44" s="209"/>
      <c r="D44" s="209"/>
      <c r="E44" s="209"/>
      <c r="F44" s="209"/>
    </row>
    <row r="45" spans="1:6" ht="15.75" x14ac:dyDescent="0.25">
      <c r="A45" s="208"/>
      <c r="B45" s="208" t="s">
        <v>274</v>
      </c>
      <c r="C45" s="208"/>
      <c r="D45" s="210">
        <v>53336.11</v>
      </c>
      <c r="E45" s="210"/>
      <c r="F45" s="210"/>
    </row>
    <row r="46" spans="1:6" ht="15.75" x14ac:dyDescent="0.25">
      <c r="A46" s="208"/>
      <c r="B46" s="208" t="s">
        <v>95</v>
      </c>
      <c r="C46" s="208"/>
      <c r="D46" s="210">
        <f>C42</f>
        <v>15772.93</v>
      </c>
      <c r="E46" s="210"/>
      <c r="F46" s="210"/>
    </row>
    <row r="47" spans="1:6" ht="15.75" x14ac:dyDescent="0.25">
      <c r="A47" s="208"/>
      <c r="B47" s="211" t="s">
        <v>305</v>
      </c>
      <c r="C47" s="208"/>
      <c r="D47" s="210">
        <f>SUM(D45:D46)</f>
        <v>69109.040000000008</v>
      </c>
      <c r="E47" s="210"/>
      <c r="F47" s="210"/>
    </row>
    <row r="48" spans="1:6" ht="16.5" thickBot="1" x14ac:dyDescent="0.3">
      <c r="A48" s="212"/>
      <c r="B48" s="212"/>
      <c r="C48" s="213"/>
      <c r="D48" s="213"/>
      <c r="E48" s="213"/>
      <c r="F48" s="212"/>
    </row>
    <row r="49" spans="1:6" ht="15.75" x14ac:dyDescent="0.25">
      <c r="A49" s="212"/>
      <c r="B49" s="214" t="s">
        <v>304</v>
      </c>
      <c r="C49" s="215"/>
      <c r="D49" s="216"/>
      <c r="E49" s="217"/>
      <c r="F49" s="217"/>
    </row>
    <row r="50" spans="1:6" ht="15.75" x14ac:dyDescent="0.25">
      <c r="A50" s="212"/>
      <c r="B50" s="218" t="s">
        <v>240</v>
      </c>
      <c r="C50" s="217"/>
      <c r="D50" s="219">
        <v>41387.64</v>
      </c>
      <c r="E50" s="217"/>
      <c r="F50" s="217"/>
    </row>
    <row r="51" spans="1:6" ht="15.75" x14ac:dyDescent="0.25">
      <c r="A51" s="212"/>
      <c r="B51" s="218" t="s">
        <v>241</v>
      </c>
      <c r="C51" s="217"/>
      <c r="D51" s="219">
        <v>27721.4</v>
      </c>
      <c r="E51" s="217"/>
      <c r="F51" s="217"/>
    </row>
    <row r="52" spans="1:6" ht="16.5" thickBot="1" x14ac:dyDescent="0.3">
      <c r="A52" s="212"/>
      <c r="B52" s="220" t="s">
        <v>242</v>
      </c>
      <c r="C52" s="221"/>
      <c r="D52" s="222">
        <f>SUM(D50:D51)</f>
        <v>69109.040000000008</v>
      </c>
      <c r="E52" s="217"/>
      <c r="F52" s="217"/>
    </row>
  </sheetData>
  <mergeCells count="5">
    <mergeCell ref="A1:F2"/>
    <mergeCell ref="A4:B4"/>
    <mergeCell ref="A18:B18"/>
    <mergeCell ref="A19:B19"/>
    <mergeCell ref="A41:B41"/>
  </mergeCells>
  <pageMargins left="0.25" right="0.25" top="0.75" bottom="0.75" header="0.3" footer="0.3"/>
  <pageSetup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4025-AE0A-46DF-978A-093D839FE045}">
  <sheetPr>
    <pageSetUpPr fitToPage="1"/>
  </sheetPr>
  <dimension ref="A1:F52"/>
  <sheetViews>
    <sheetView workbookViewId="0">
      <selection activeCell="F3" sqref="F3"/>
    </sheetView>
  </sheetViews>
  <sheetFormatPr defaultColWidth="9.140625" defaultRowHeight="15" x14ac:dyDescent="0.25"/>
  <cols>
    <col min="1" max="1" width="3.28515625" style="189" customWidth="1"/>
    <col min="2" max="2" width="46.7109375" style="189" bestFit="1" customWidth="1"/>
    <col min="3" max="3" width="17" style="189" bestFit="1" customWidth="1"/>
    <col min="4" max="4" width="16.5703125" style="189" bestFit="1" customWidth="1"/>
    <col min="5" max="5" width="17.5703125" style="189" bestFit="1" customWidth="1"/>
    <col min="6" max="6" width="55.28515625" style="189" bestFit="1" customWidth="1"/>
    <col min="7" max="16384" width="9.140625" style="189"/>
  </cols>
  <sheetData>
    <row r="1" spans="1:6" ht="19.5" customHeight="1" x14ac:dyDescent="0.25">
      <c r="A1" s="247" t="s">
        <v>303</v>
      </c>
      <c r="B1" s="248"/>
      <c r="C1" s="248"/>
      <c r="D1" s="248"/>
      <c r="E1" s="248"/>
      <c r="F1" s="249"/>
    </row>
    <row r="2" spans="1:6" ht="19.5" customHeight="1" x14ac:dyDescent="0.25">
      <c r="A2" s="250"/>
      <c r="B2" s="251"/>
      <c r="C2" s="251"/>
      <c r="D2" s="251"/>
      <c r="E2" s="251"/>
      <c r="F2" s="252"/>
    </row>
    <row r="3" spans="1:6" ht="47.25" x14ac:dyDescent="0.25">
      <c r="A3" s="190"/>
      <c r="B3" s="190"/>
      <c r="C3" s="191" t="s">
        <v>288</v>
      </c>
      <c r="D3" s="192" t="s">
        <v>289</v>
      </c>
      <c r="E3" s="191" t="s">
        <v>290</v>
      </c>
      <c r="F3" s="193" t="s">
        <v>291</v>
      </c>
    </row>
    <row r="4" spans="1:6" ht="15.75" x14ac:dyDescent="0.25">
      <c r="A4" s="246" t="s">
        <v>4</v>
      </c>
      <c r="B4" s="246"/>
      <c r="C4" s="194"/>
      <c r="D4" s="195"/>
      <c r="E4" s="194"/>
      <c r="F4" s="194"/>
    </row>
    <row r="5" spans="1:6" ht="15.75" x14ac:dyDescent="0.25">
      <c r="A5" s="196"/>
      <c r="B5" s="196" t="s">
        <v>272</v>
      </c>
      <c r="C5" s="197">
        <v>5823.75</v>
      </c>
      <c r="D5" s="198">
        <v>13735.87</v>
      </c>
      <c r="E5" s="197">
        <v>5000</v>
      </c>
      <c r="F5" s="197"/>
    </row>
    <row r="6" spans="1:6" ht="15.75" x14ac:dyDescent="0.25">
      <c r="A6" s="196"/>
      <c r="B6" s="196" t="s">
        <v>11</v>
      </c>
      <c r="C6" s="197">
        <f>SUM(C7:C9)</f>
        <v>14857.19</v>
      </c>
      <c r="D6" s="199">
        <v>19064.89</v>
      </c>
      <c r="E6" s="197">
        <v>11000</v>
      </c>
      <c r="F6" s="197"/>
    </row>
    <row r="7" spans="1:6" x14ac:dyDescent="0.25">
      <c r="B7" s="200" t="s">
        <v>301</v>
      </c>
      <c r="C7" s="223">
        <v>15707.19</v>
      </c>
      <c r="D7" s="223"/>
      <c r="E7" s="223"/>
      <c r="F7" s="224" t="s">
        <v>306</v>
      </c>
    </row>
    <row r="8" spans="1:6" ht="15.75" x14ac:dyDescent="0.25">
      <c r="A8" s="196"/>
      <c r="B8" s="200" t="s">
        <v>299</v>
      </c>
      <c r="C8" s="198">
        <v>0</v>
      </c>
      <c r="D8" s="199"/>
      <c r="E8" s="198"/>
      <c r="F8" s="197" t="s">
        <v>300</v>
      </c>
    </row>
    <row r="9" spans="1:6" ht="15.75" x14ac:dyDescent="0.25">
      <c r="A9" s="196"/>
      <c r="B9" s="200" t="s">
        <v>298</v>
      </c>
      <c r="C9" s="198">
        <v>-850</v>
      </c>
      <c r="D9" s="199"/>
      <c r="E9" s="198"/>
      <c r="F9" s="197"/>
    </row>
    <row r="10" spans="1:6" ht="15.75" x14ac:dyDescent="0.25">
      <c r="A10" s="196"/>
      <c r="B10" s="196" t="s">
        <v>285</v>
      </c>
      <c r="C10" s="197"/>
      <c r="D10" s="199">
        <v>5247</v>
      </c>
      <c r="E10" s="197">
        <v>2500</v>
      </c>
      <c r="F10" s="197"/>
    </row>
    <row r="11" spans="1:6" ht="15.75" x14ac:dyDescent="0.25">
      <c r="A11" s="196"/>
      <c r="B11" s="196" t="s">
        <v>202</v>
      </c>
      <c r="C11" s="197">
        <v>0</v>
      </c>
      <c r="D11" s="199">
        <v>18088.48</v>
      </c>
      <c r="E11" s="197">
        <v>0</v>
      </c>
      <c r="F11" s="197"/>
    </row>
    <row r="12" spans="1:6" ht="15.75" x14ac:dyDescent="0.25">
      <c r="A12" s="196"/>
      <c r="B12" s="196" t="s">
        <v>203</v>
      </c>
      <c r="C12" s="197">
        <v>0</v>
      </c>
      <c r="D12" s="199">
        <v>-384.69</v>
      </c>
      <c r="E12" s="197">
        <v>2000</v>
      </c>
      <c r="F12" s="197"/>
    </row>
    <row r="13" spans="1:6" ht="15.75" x14ac:dyDescent="0.25">
      <c r="A13" s="196"/>
      <c r="B13" s="196" t="s">
        <v>44</v>
      </c>
      <c r="C13" s="197">
        <v>0</v>
      </c>
      <c r="D13" s="199">
        <v>3310</v>
      </c>
      <c r="E13" s="197">
        <v>0</v>
      </c>
      <c r="F13" s="197"/>
    </row>
    <row r="14" spans="1:6" ht="15.75" x14ac:dyDescent="0.25">
      <c r="A14" s="196"/>
      <c r="B14" s="196" t="s">
        <v>46</v>
      </c>
      <c r="C14" s="197">
        <v>0</v>
      </c>
      <c r="D14" s="199">
        <v>1020</v>
      </c>
      <c r="E14" s="197">
        <v>0</v>
      </c>
      <c r="F14" s="197"/>
    </row>
    <row r="15" spans="1:6" ht="15.75" x14ac:dyDescent="0.25">
      <c r="A15" s="196"/>
      <c r="B15" s="196" t="s">
        <v>49</v>
      </c>
      <c r="C15" s="202">
        <v>3572.5</v>
      </c>
      <c r="D15" s="199">
        <v>1244.32</v>
      </c>
      <c r="E15" s="202">
        <v>2600</v>
      </c>
      <c r="F15" s="197"/>
    </row>
    <row r="16" spans="1:6" ht="15.75" x14ac:dyDescent="0.25">
      <c r="A16" s="196"/>
      <c r="B16" s="196" t="s">
        <v>263</v>
      </c>
      <c r="C16" s="197">
        <v>90</v>
      </c>
      <c r="D16" s="199"/>
      <c r="E16" s="197">
        <v>1300</v>
      </c>
      <c r="F16" s="197" t="s">
        <v>292</v>
      </c>
    </row>
    <row r="17" spans="1:6" ht="15.75" x14ac:dyDescent="0.25">
      <c r="A17" s="196"/>
      <c r="B17" s="196" t="s">
        <v>51</v>
      </c>
      <c r="C17" s="197">
        <v>0</v>
      </c>
      <c r="D17" s="198">
        <v>-126</v>
      </c>
      <c r="E17" s="197">
        <v>-200</v>
      </c>
      <c r="F17" s="197"/>
    </row>
    <row r="18" spans="1:6" ht="15.75" x14ac:dyDescent="0.25">
      <c r="A18" s="246" t="s">
        <v>53</v>
      </c>
      <c r="B18" s="246"/>
      <c r="C18" s="203">
        <f>SUM(C5, C6, C10:C17)</f>
        <v>24343.440000000002</v>
      </c>
      <c r="D18" s="204">
        <f>ROUND(SUM(D4:D17),5)</f>
        <v>61199.87</v>
      </c>
      <c r="E18" s="203">
        <f>ROUND(SUM(E5:E17),5)</f>
        <v>24200</v>
      </c>
      <c r="F18" s="203"/>
    </row>
    <row r="19" spans="1:6" ht="15.75" x14ac:dyDescent="0.25">
      <c r="A19" s="246" t="s">
        <v>6</v>
      </c>
      <c r="B19" s="246"/>
      <c r="C19" s="197"/>
      <c r="D19" s="198"/>
      <c r="E19" s="197"/>
      <c r="F19" s="197"/>
    </row>
    <row r="20" spans="1:6" ht="15.75" x14ac:dyDescent="0.25">
      <c r="A20" s="196"/>
      <c r="B20" s="196" t="s">
        <v>54</v>
      </c>
      <c r="C20" s="197">
        <f>SUM(C21:C26)</f>
        <v>2680.54</v>
      </c>
      <c r="D20" s="198">
        <f>SUM(D21:D26)</f>
        <v>3209.01</v>
      </c>
      <c r="E20" s="197">
        <f>SUM(E21:E26)</f>
        <v>2950</v>
      </c>
      <c r="F20" s="197"/>
    </row>
    <row r="21" spans="1:6" x14ac:dyDescent="0.25">
      <c r="A21" s="200"/>
      <c r="B21" s="200" t="s">
        <v>216</v>
      </c>
      <c r="C21" s="198">
        <v>1440</v>
      </c>
      <c r="D21" s="198">
        <v>1380</v>
      </c>
      <c r="E21" s="198">
        <v>1400</v>
      </c>
      <c r="F21" s="198"/>
    </row>
    <row r="22" spans="1:6" x14ac:dyDescent="0.25">
      <c r="A22" s="200"/>
      <c r="B22" s="200" t="s">
        <v>215</v>
      </c>
      <c r="C22" s="198">
        <v>585.62</v>
      </c>
      <c r="D22" s="198">
        <v>1081.9000000000001</v>
      </c>
      <c r="E22" s="198">
        <v>800</v>
      </c>
      <c r="F22" s="198"/>
    </row>
    <row r="23" spans="1:6" x14ac:dyDescent="0.25">
      <c r="A23" s="200"/>
      <c r="B23" s="200" t="s">
        <v>214</v>
      </c>
      <c r="C23" s="198">
        <v>52.5</v>
      </c>
      <c r="D23" s="198">
        <v>149.5</v>
      </c>
      <c r="E23" s="198">
        <v>100</v>
      </c>
      <c r="F23" s="198"/>
    </row>
    <row r="24" spans="1:6" x14ac:dyDescent="0.25">
      <c r="A24" s="200"/>
      <c r="B24" s="200" t="s">
        <v>212</v>
      </c>
      <c r="C24" s="198">
        <v>590</v>
      </c>
      <c r="D24" s="198">
        <v>601</v>
      </c>
      <c r="E24" s="198">
        <v>600</v>
      </c>
      <c r="F24" s="198"/>
    </row>
    <row r="25" spans="1:6" x14ac:dyDescent="0.25">
      <c r="A25" s="200"/>
      <c r="B25" s="200" t="s">
        <v>282</v>
      </c>
      <c r="C25" s="198">
        <v>-2.58</v>
      </c>
      <c r="D25" s="198">
        <v>-18.39</v>
      </c>
      <c r="E25" s="198">
        <v>0</v>
      </c>
      <c r="F25" s="198"/>
    </row>
    <row r="26" spans="1:6" x14ac:dyDescent="0.25">
      <c r="A26" s="200"/>
      <c r="B26" s="200" t="s">
        <v>211</v>
      </c>
      <c r="C26" s="198">
        <v>15</v>
      </c>
      <c r="D26" s="198">
        <v>15</v>
      </c>
      <c r="E26" s="198">
        <v>50</v>
      </c>
      <c r="F26" s="198"/>
    </row>
    <row r="27" spans="1:6" ht="15.75" x14ac:dyDescent="0.25">
      <c r="A27" s="196"/>
      <c r="B27" s="196" t="s">
        <v>55</v>
      </c>
      <c r="C27" s="197">
        <v>4439.97</v>
      </c>
      <c r="D27" s="198">
        <v>46594.66</v>
      </c>
      <c r="E27" s="197">
        <v>25000</v>
      </c>
      <c r="F27" s="202" t="s">
        <v>307</v>
      </c>
    </row>
    <row r="28" spans="1:6" ht="15.75" x14ac:dyDescent="0.25">
      <c r="A28" s="196"/>
      <c r="B28" s="196" t="s">
        <v>56</v>
      </c>
      <c r="C28" s="197">
        <v>0</v>
      </c>
      <c r="D28" s="198">
        <v>944.92</v>
      </c>
      <c r="E28" s="197">
        <v>1000</v>
      </c>
      <c r="F28" s="202"/>
    </row>
    <row r="29" spans="1:6" ht="15.75" x14ac:dyDescent="0.25">
      <c r="A29" s="196"/>
      <c r="B29" s="196" t="s">
        <v>57</v>
      </c>
      <c r="C29" s="197">
        <v>0</v>
      </c>
      <c r="D29" s="198">
        <v>0</v>
      </c>
      <c r="E29" s="197">
        <v>2700</v>
      </c>
      <c r="F29" s="202"/>
    </row>
    <row r="30" spans="1:6" ht="15.75" x14ac:dyDescent="0.25">
      <c r="A30" s="196"/>
      <c r="B30" s="196" t="s">
        <v>58</v>
      </c>
      <c r="C30" s="197">
        <v>0</v>
      </c>
      <c r="D30" s="198">
        <v>6000</v>
      </c>
      <c r="E30" s="197">
        <v>0</v>
      </c>
      <c r="F30" s="202"/>
    </row>
    <row r="31" spans="1:6" ht="15.75" x14ac:dyDescent="0.25">
      <c r="A31" s="196"/>
      <c r="B31" s="196" t="s">
        <v>59</v>
      </c>
      <c r="C31" s="197">
        <f>SUM(C32:C33)</f>
        <v>0</v>
      </c>
      <c r="D31" s="198">
        <v>296.98</v>
      </c>
      <c r="E31" s="197">
        <f>SUM(E32:E33)</f>
        <v>350</v>
      </c>
      <c r="F31" s="202"/>
    </row>
    <row r="32" spans="1:6" x14ac:dyDescent="0.25">
      <c r="A32" s="205"/>
      <c r="B32" s="200" t="s">
        <v>220</v>
      </c>
      <c r="C32" s="198">
        <v>0</v>
      </c>
      <c r="D32" s="198">
        <v>296.98</v>
      </c>
      <c r="E32" s="198">
        <v>0</v>
      </c>
      <c r="F32" s="199"/>
    </row>
    <row r="33" spans="1:6" x14ac:dyDescent="0.25">
      <c r="A33" s="205"/>
      <c r="B33" s="200" t="s">
        <v>221</v>
      </c>
      <c r="C33" s="198">
        <v>0</v>
      </c>
      <c r="D33" s="199">
        <v>0</v>
      </c>
      <c r="E33" s="198">
        <v>350</v>
      </c>
      <c r="F33" s="199"/>
    </row>
    <row r="34" spans="1:6" ht="15.75" x14ac:dyDescent="0.25">
      <c r="A34" s="196"/>
      <c r="B34" s="196" t="s">
        <v>62</v>
      </c>
      <c r="C34" s="197">
        <v>0</v>
      </c>
      <c r="D34" s="199">
        <v>10000</v>
      </c>
      <c r="E34" s="197">
        <v>0</v>
      </c>
      <c r="F34" s="202"/>
    </row>
    <row r="35" spans="1:6" ht="15.75" x14ac:dyDescent="0.25">
      <c r="A35" s="196"/>
      <c r="B35" s="196" t="s">
        <v>205</v>
      </c>
      <c r="C35" s="197"/>
      <c r="D35" s="199">
        <v>2250</v>
      </c>
      <c r="E35" s="197">
        <v>3000</v>
      </c>
      <c r="F35" s="202"/>
    </row>
    <row r="36" spans="1:6" ht="15.75" x14ac:dyDescent="0.25">
      <c r="A36" s="196"/>
      <c r="B36" s="196" t="s">
        <v>63</v>
      </c>
      <c r="C36" s="202">
        <f>SUM(C37:C39)</f>
        <v>200</v>
      </c>
      <c r="D36" s="199">
        <f>SUM(D37:D39)</f>
        <v>5027.97</v>
      </c>
      <c r="E36" s="202">
        <f>SUM(E37:E39)</f>
        <v>6600</v>
      </c>
      <c r="F36" s="202"/>
    </row>
    <row r="37" spans="1:6" x14ac:dyDescent="0.25">
      <c r="A37" s="205"/>
      <c r="B37" s="200" t="s">
        <v>217</v>
      </c>
      <c r="C37" s="198"/>
      <c r="D37" s="199">
        <v>2027.97</v>
      </c>
      <c r="E37" s="198">
        <v>2100</v>
      </c>
      <c r="F37" s="199"/>
    </row>
    <row r="38" spans="1:6" x14ac:dyDescent="0.25">
      <c r="A38" s="205"/>
      <c r="B38" s="200" t="s">
        <v>218</v>
      </c>
      <c r="C38" s="198"/>
      <c r="D38" s="199">
        <v>3000</v>
      </c>
      <c r="E38" s="198">
        <v>3000</v>
      </c>
      <c r="F38" s="199"/>
    </row>
    <row r="39" spans="1:6" x14ac:dyDescent="0.25">
      <c r="A39" s="205"/>
      <c r="B39" s="200" t="s">
        <v>219</v>
      </c>
      <c r="C39" s="198">
        <v>200</v>
      </c>
      <c r="D39" s="199">
        <v>0</v>
      </c>
      <c r="E39" s="198">
        <v>1500</v>
      </c>
      <c r="F39" s="199" t="s">
        <v>295</v>
      </c>
    </row>
    <row r="40" spans="1:6" ht="15.75" x14ac:dyDescent="0.25">
      <c r="A40" s="196"/>
      <c r="B40" s="196" t="s">
        <v>68</v>
      </c>
      <c r="C40" s="197">
        <v>1250</v>
      </c>
      <c r="D40" s="199">
        <v>1750.77</v>
      </c>
      <c r="E40" s="197">
        <v>3000</v>
      </c>
      <c r="F40" s="202" t="s">
        <v>296</v>
      </c>
    </row>
    <row r="41" spans="1:6" ht="15.75" x14ac:dyDescent="0.25">
      <c r="A41" s="246" t="s">
        <v>69</v>
      </c>
      <c r="B41" s="246"/>
      <c r="C41" s="203">
        <f>SUM(C20, C27, C28, C29, C30, C31, C34, C35, C36, C40)</f>
        <v>8570.51</v>
      </c>
      <c r="D41" s="204">
        <f>SUM(D20, D27, D28, D29, D30, D31, D34, D35, D36, D40)</f>
        <v>76074.310000000012</v>
      </c>
      <c r="E41" s="203">
        <f>SUM(E20, E27, E28, E29, E30, E31, E34, E35, E36, E40)</f>
        <v>44600</v>
      </c>
      <c r="F41" s="203"/>
    </row>
    <row r="42" spans="1:6" ht="15.75" x14ac:dyDescent="0.25">
      <c r="A42" s="196"/>
      <c r="B42" s="196"/>
      <c r="C42" s="206">
        <f>ROUND(C18-C41,5)</f>
        <v>15772.93</v>
      </c>
      <c r="D42" s="207">
        <f>ROUND(D18-D41,5)</f>
        <v>-14874.44</v>
      </c>
      <c r="E42" s="206">
        <f>ROUND(E18-E41,5)</f>
        <v>-20400</v>
      </c>
      <c r="F42" s="206"/>
    </row>
    <row r="43" spans="1:6" ht="15.75" x14ac:dyDescent="0.25">
      <c r="A43" s="208"/>
      <c r="B43" s="208"/>
      <c r="C43" s="208"/>
      <c r="D43" s="208"/>
      <c r="E43" s="208"/>
      <c r="F43" s="208"/>
    </row>
    <row r="44" spans="1:6" ht="15.75" x14ac:dyDescent="0.25">
      <c r="A44" s="208"/>
      <c r="B44" s="209" t="s">
        <v>93</v>
      </c>
      <c r="C44" s="209"/>
      <c r="D44" s="209"/>
      <c r="E44" s="209"/>
      <c r="F44" s="209"/>
    </row>
    <row r="45" spans="1:6" ht="15.75" x14ac:dyDescent="0.25">
      <c r="A45" s="208"/>
      <c r="B45" s="208" t="s">
        <v>274</v>
      </c>
      <c r="C45" s="208"/>
      <c r="D45" s="210">
        <v>53336.11</v>
      </c>
      <c r="E45" s="210"/>
      <c r="F45" s="210"/>
    </row>
    <row r="46" spans="1:6" ht="15.75" x14ac:dyDescent="0.25">
      <c r="A46" s="208"/>
      <c r="B46" s="208" t="s">
        <v>95</v>
      </c>
      <c r="C46" s="208"/>
      <c r="D46" s="210">
        <f>C42</f>
        <v>15772.93</v>
      </c>
      <c r="E46" s="210"/>
      <c r="F46" s="210"/>
    </row>
    <row r="47" spans="1:6" ht="15.75" x14ac:dyDescent="0.25">
      <c r="A47" s="208"/>
      <c r="B47" s="211" t="s">
        <v>305</v>
      </c>
      <c r="C47" s="208"/>
      <c r="D47" s="210">
        <f>SUM(D45:D46)</f>
        <v>69109.040000000008</v>
      </c>
      <c r="E47" s="210"/>
      <c r="F47" s="210"/>
    </row>
    <row r="48" spans="1:6" ht="16.5" thickBot="1" x14ac:dyDescent="0.3">
      <c r="A48" s="212"/>
      <c r="B48" s="212"/>
      <c r="C48" s="213"/>
      <c r="D48" s="213"/>
      <c r="E48" s="213"/>
      <c r="F48" s="212"/>
    </row>
    <row r="49" spans="1:6" ht="15.75" x14ac:dyDescent="0.25">
      <c r="A49" s="212"/>
      <c r="B49" s="214" t="s">
        <v>304</v>
      </c>
      <c r="C49" s="215"/>
      <c r="D49" s="216"/>
      <c r="E49" s="217"/>
      <c r="F49" s="217"/>
    </row>
    <row r="50" spans="1:6" ht="15.75" x14ac:dyDescent="0.25">
      <c r="A50" s="212"/>
      <c r="B50" s="218" t="s">
        <v>240</v>
      </c>
      <c r="C50" s="217"/>
      <c r="D50" s="219">
        <v>41387.64</v>
      </c>
      <c r="E50" s="217"/>
      <c r="F50" s="217"/>
    </row>
    <row r="51" spans="1:6" ht="15.75" x14ac:dyDescent="0.25">
      <c r="A51" s="212"/>
      <c r="B51" s="218" t="s">
        <v>241</v>
      </c>
      <c r="C51" s="217"/>
      <c r="D51" s="219">
        <v>27721.4</v>
      </c>
      <c r="E51" s="217"/>
      <c r="F51" s="217"/>
    </row>
    <row r="52" spans="1:6" ht="16.5" thickBot="1" x14ac:dyDescent="0.3">
      <c r="A52" s="212"/>
      <c r="B52" s="220" t="s">
        <v>242</v>
      </c>
      <c r="C52" s="221"/>
      <c r="D52" s="222">
        <f>SUM(D50:D51)</f>
        <v>69109.040000000008</v>
      </c>
      <c r="E52" s="217"/>
      <c r="F52" s="217"/>
    </row>
  </sheetData>
  <mergeCells count="5">
    <mergeCell ref="A1:F2"/>
    <mergeCell ref="A4:B4"/>
    <mergeCell ref="A18:B18"/>
    <mergeCell ref="A19:B19"/>
    <mergeCell ref="A41:B41"/>
  </mergeCells>
  <pageMargins left="0.25" right="0.25" top="0.75" bottom="0.75" header="0.3" footer="0.3"/>
  <pageSetup scale="6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2B8C-6222-46D7-982E-1725F78DD30C}">
  <sheetPr>
    <pageSetUpPr fitToPage="1"/>
  </sheetPr>
  <dimension ref="A1:F52"/>
  <sheetViews>
    <sheetView workbookViewId="0">
      <selection activeCell="B3" sqref="B3"/>
    </sheetView>
  </sheetViews>
  <sheetFormatPr defaultColWidth="9.140625" defaultRowHeight="15" x14ac:dyDescent="0.25"/>
  <cols>
    <col min="1" max="1" width="3.28515625" style="189" customWidth="1"/>
    <col min="2" max="2" width="46.7109375" style="189" bestFit="1" customWidth="1"/>
    <col min="3" max="3" width="17" style="189" bestFit="1" customWidth="1"/>
    <col min="4" max="4" width="16.5703125" style="189" bestFit="1" customWidth="1"/>
    <col min="5" max="5" width="17.5703125" style="189" bestFit="1" customWidth="1"/>
    <col min="6" max="6" width="55.28515625" style="189" bestFit="1" customWidth="1"/>
    <col min="7" max="16384" width="9.140625" style="189"/>
  </cols>
  <sheetData>
    <row r="1" spans="1:6" ht="19.5" customHeight="1" x14ac:dyDescent="0.25">
      <c r="A1" s="253" t="s">
        <v>287</v>
      </c>
      <c r="B1" s="248"/>
      <c r="C1" s="248"/>
      <c r="D1" s="248"/>
      <c r="E1" s="248"/>
      <c r="F1" s="249"/>
    </row>
    <row r="2" spans="1:6" ht="19.5" customHeight="1" x14ac:dyDescent="0.25">
      <c r="A2" s="250"/>
      <c r="B2" s="251"/>
      <c r="C2" s="251"/>
      <c r="D2" s="251"/>
      <c r="E2" s="251"/>
      <c r="F2" s="252"/>
    </row>
    <row r="3" spans="1:6" ht="47.25" x14ac:dyDescent="0.25">
      <c r="A3" s="190"/>
      <c r="B3" s="190"/>
      <c r="C3" s="191" t="s">
        <v>288</v>
      </c>
      <c r="D3" s="192" t="s">
        <v>289</v>
      </c>
      <c r="E3" s="191" t="s">
        <v>290</v>
      </c>
      <c r="F3" s="193" t="s">
        <v>291</v>
      </c>
    </row>
    <row r="4" spans="1:6" ht="15.75" x14ac:dyDescent="0.25">
      <c r="A4" s="246" t="s">
        <v>4</v>
      </c>
      <c r="B4" s="246"/>
      <c r="C4" s="194"/>
      <c r="D4" s="195"/>
      <c r="E4" s="194"/>
      <c r="F4" s="194"/>
    </row>
    <row r="5" spans="1:6" ht="15.75" x14ac:dyDescent="0.25">
      <c r="A5" s="196"/>
      <c r="B5" s="196" t="s">
        <v>272</v>
      </c>
      <c r="C5" s="197">
        <v>5683.75</v>
      </c>
      <c r="D5" s="198">
        <v>13735.87</v>
      </c>
      <c r="E5" s="197">
        <v>5000</v>
      </c>
      <c r="F5" s="197"/>
    </row>
    <row r="6" spans="1:6" ht="15.75" x14ac:dyDescent="0.25">
      <c r="A6" s="196"/>
      <c r="B6" s="196" t="s">
        <v>11</v>
      </c>
      <c r="C6" s="197">
        <f>SUM(C7:C9)</f>
        <v>12045.98</v>
      </c>
      <c r="D6" s="199">
        <v>19064.89</v>
      </c>
      <c r="E6" s="197">
        <v>11000</v>
      </c>
      <c r="F6" s="197"/>
    </row>
    <row r="7" spans="1:6" x14ac:dyDescent="0.25">
      <c r="B7" s="200" t="s">
        <v>301</v>
      </c>
      <c r="C7" s="223">
        <v>12895.98</v>
      </c>
      <c r="D7" s="223"/>
      <c r="E7" s="223"/>
      <c r="F7" s="201" t="s">
        <v>302</v>
      </c>
    </row>
    <row r="8" spans="1:6" ht="15.75" x14ac:dyDescent="0.25">
      <c r="A8" s="196"/>
      <c r="B8" s="200" t="s">
        <v>299</v>
      </c>
      <c r="C8" s="198">
        <v>0</v>
      </c>
      <c r="D8" s="199"/>
      <c r="E8" s="198"/>
      <c r="F8" s="197" t="s">
        <v>300</v>
      </c>
    </row>
    <row r="9" spans="1:6" ht="15.75" x14ac:dyDescent="0.25">
      <c r="A9" s="196"/>
      <c r="B9" s="200" t="s">
        <v>298</v>
      </c>
      <c r="C9" s="198">
        <v>-850</v>
      </c>
      <c r="D9" s="199"/>
      <c r="E9" s="198"/>
      <c r="F9" s="197"/>
    </row>
    <row r="10" spans="1:6" ht="15.75" x14ac:dyDescent="0.25">
      <c r="A10" s="196"/>
      <c r="B10" s="196" t="s">
        <v>285</v>
      </c>
      <c r="C10" s="197"/>
      <c r="D10" s="199">
        <v>5247</v>
      </c>
      <c r="E10" s="197">
        <v>2500</v>
      </c>
      <c r="F10" s="197"/>
    </row>
    <row r="11" spans="1:6" ht="15.75" x14ac:dyDescent="0.25">
      <c r="A11" s="196"/>
      <c r="B11" s="196" t="s">
        <v>202</v>
      </c>
      <c r="C11" s="197">
        <v>0</v>
      </c>
      <c r="D11" s="199">
        <v>18088.48</v>
      </c>
      <c r="E11" s="197">
        <v>0</v>
      </c>
      <c r="F11" s="197"/>
    </row>
    <row r="12" spans="1:6" ht="15.75" x14ac:dyDescent="0.25">
      <c r="A12" s="196"/>
      <c r="B12" s="196" t="s">
        <v>203</v>
      </c>
      <c r="C12" s="197">
        <v>0</v>
      </c>
      <c r="D12" s="199">
        <v>-384.69</v>
      </c>
      <c r="E12" s="197">
        <v>2000</v>
      </c>
      <c r="F12" s="197"/>
    </row>
    <row r="13" spans="1:6" ht="15.75" x14ac:dyDescent="0.25">
      <c r="A13" s="196"/>
      <c r="B13" s="196" t="s">
        <v>44</v>
      </c>
      <c r="C13" s="197">
        <v>0</v>
      </c>
      <c r="D13" s="199">
        <v>3310</v>
      </c>
      <c r="E13" s="197">
        <v>0</v>
      </c>
      <c r="F13" s="197"/>
    </row>
    <row r="14" spans="1:6" ht="15.75" x14ac:dyDescent="0.25">
      <c r="A14" s="196"/>
      <c r="B14" s="196" t="s">
        <v>46</v>
      </c>
      <c r="C14" s="197">
        <v>0</v>
      </c>
      <c r="D14" s="199">
        <v>1020</v>
      </c>
      <c r="E14" s="197">
        <v>0</v>
      </c>
      <c r="F14" s="197"/>
    </row>
    <row r="15" spans="1:6" ht="15.75" x14ac:dyDescent="0.25">
      <c r="A15" s="196"/>
      <c r="B15" s="196" t="s">
        <v>49</v>
      </c>
      <c r="C15" s="202">
        <v>1991.71</v>
      </c>
      <c r="D15" s="199">
        <v>1244.32</v>
      </c>
      <c r="E15" s="202">
        <v>2600</v>
      </c>
      <c r="F15" s="197"/>
    </row>
    <row r="16" spans="1:6" ht="15.75" x14ac:dyDescent="0.25">
      <c r="A16" s="196"/>
      <c r="B16" s="196" t="s">
        <v>263</v>
      </c>
      <c r="C16" s="197">
        <v>85</v>
      </c>
      <c r="D16" s="199"/>
      <c r="E16" s="197">
        <v>1300</v>
      </c>
      <c r="F16" s="197" t="s">
        <v>292</v>
      </c>
    </row>
    <row r="17" spans="1:6" ht="15.75" x14ac:dyDescent="0.25">
      <c r="A17" s="196"/>
      <c r="B17" s="196" t="s">
        <v>51</v>
      </c>
      <c r="C17" s="197">
        <v>0</v>
      </c>
      <c r="D17" s="198">
        <v>-126</v>
      </c>
      <c r="E17" s="197">
        <v>-200</v>
      </c>
      <c r="F17" s="197"/>
    </row>
    <row r="18" spans="1:6" ht="15.75" x14ac:dyDescent="0.25">
      <c r="A18" s="246" t="s">
        <v>53</v>
      </c>
      <c r="B18" s="246"/>
      <c r="C18" s="203">
        <f>SUM(C5, C6, C10:C17)</f>
        <v>19806.439999999999</v>
      </c>
      <c r="D18" s="204">
        <f>ROUND(SUM(D4:D17),5)</f>
        <v>61199.87</v>
      </c>
      <c r="E18" s="203">
        <f>ROUND(SUM(E5:E17),5)</f>
        <v>24200</v>
      </c>
      <c r="F18" s="203"/>
    </row>
    <row r="19" spans="1:6" ht="15.75" x14ac:dyDescent="0.25">
      <c r="A19" s="246" t="s">
        <v>6</v>
      </c>
      <c r="B19" s="246"/>
      <c r="C19" s="197"/>
      <c r="D19" s="198"/>
      <c r="E19" s="197"/>
      <c r="F19" s="197"/>
    </row>
    <row r="20" spans="1:6" ht="15.75" x14ac:dyDescent="0.25">
      <c r="A20" s="196"/>
      <c r="B20" s="196" t="s">
        <v>54</v>
      </c>
      <c r="C20" s="197">
        <f>SUM(C21:C26)</f>
        <v>1204.4099999999999</v>
      </c>
      <c r="D20" s="198">
        <f>SUM(D21:D26)</f>
        <v>3209.01</v>
      </c>
      <c r="E20" s="197">
        <f>SUM(E21:E26)</f>
        <v>2950</v>
      </c>
      <c r="F20" s="197"/>
    </row>
    <row r="21" spans="1:6" x14ac:dyDescent="0.25">
      <c r="A21" s="200"/>
      <c r="B21" s="200" t="s">
        <v>216</v>
      </c>
      <c r="C21" s="198">
        <v>0</v>
      </c>
      <c r="D21" s="198">
        <v>1380</v>
      </c>
      <c r="E21" s="198">
        <v>1400</v>
      </c>
      <c r="F21" s="198"/>
    </row>
    <row r="22" spans="1:6" x14ac:dyDescent="0.25">
      <c r="A22" s="200"/>
      <c r="B22" s="200" t="s">
        <v>215</v>
      </c>
      <c r="C22" s="198">
        <v>585.62</v>
      </c>
      <c r="D22" s="198">
        <v>1081.9000000000001</v>
      </c>
      <c r="E22" s="198">
        <v>800</v>
      </c>
      <c r="F22" s="198"/>
    </row>
    <row r="23" spans="1:6" x14ac:dyDescent="0.25">
      <c r="A23" s="200"/>
      <c r="B23" s="200" t="s">
        <v>214</v>
      </c>
      <c r="C23" s="198">
        <v>30</v>
      </c>
      <c r="D23" s="198">
        <v>149.5</v>
      </c>
      <c r="E23" s="198">
        <v>100</v>
      </c>
      <c r="F23" s="198"/>
    </row>
    <row r="24" spans="1:6" x14ac:dyDescent="0.25">
      <c r="A24" s="200"/>
      <c r="B24" s="200" t="s">
        <v>212</v>
      </c>
      <c r="C24" s="198">
        <v>590</v>
      </c>
      <c r="D24" s="198">
        <v>601</v>
      </c>
      <c r="E24" s="198">
        <v>600</v>
      </c>
      <c r="F24" s="198"/>
    </row>
    <row r="25" spans="1:6" x14ac:dyDescent="0.25">
      <c r="A25" s="200"/>
      <c r="B25" s="200" t="s">
        <v>282</v>
      </c>
      <c r="C25" s="198">
        <v>-1.21</v>
      </c>
      <c r="D25" s="198">
        <v>-18.39</v>
      </c>
      <c r="E25" s="198">
        <v>0</v>
      </c>
      <c r="F25" s="198"/>
    </row>
    <row r="26" spans="1:6" x14ac:dyDescent="0.25">
      <c r="A26" s="200"/>
      <c r="B26" s="200" t="s">
        <v>211</v>
      </c>
      <c r="C26" s="198">
        <v>0</v>
      </c>
      <c r="D26" s="198">
        <v>15</v>
      </c>
      <c r="E26" s="198">
        <v>50</v>
      </c>
      <c r="F26" s="198"/>
    </row>
    <row r="27" spans="1:6" ht="15.75" x14ac:dyDescent="0.25">
      <c r="A27" s="196"/>
      <c r="B27" s="196" t="s">
        <v>55</v>
      </c>
      <c r="C27" s="197">
        <v>0</v>
      </c>
      <c r="D27" s="198">
        <v>46594.66</v>
      </c>
      <c r="E27" s="197">
        <v>25000</v>
      </c>
      <c r="F27" s="202" t="s">
        <v>297</v>
      </c>
    </row>
    <row r="28" spans="1:6" ht="15.75" x14ac:dyDescent="0.25">
      <c r="A28" s="196"/>
      <c r="B28" s="196" t="s">
        <v>56</v>
      </c>
      <c r="C28" s="197">
        <v>0</v>
      </c>
      <c r="D28" s="198">
        <v>944.92</v>
      </c>
      <c r="E28" s="197">
        <v>1000</v>
      </c>
      <c r="F28" s="202"/>
    </row>
    <row r="29" spans="1:6" ht="15.75" x14ac:dyDescent="0.25">
      <c r="A29" s="196"/>
      <c r="B29" s="196" t="s">
        <v>57</v>
      </c>
      <c r="C29" s="197">
        <v>0</v>
      </c>
      <c r="D29" s="198">
        <v>0</v>
      </c>
      <c r="E29" s="197">
        <v>2700</v>
      </c>
      <c r="F29" s="202"/>
    </row>
    <row r="30" spans="1:6" ht="15.75" x14ac:dyDescent="0.25">
      <c r="A30" s="196"/>
      <c r="B30" s="196" t="s">
        <v>58</v>
      </c>
      <c r="C30" s="197">
        <v>0</v>
      </c>
      <c r="D30" s="198">
        <v>6000</v>
      </c>
      <c r="E30" s="197">
        <v>0</v>
      </c>
      <c r="F30" s="202"/>
    </row>
    <row r="31" spans="1:6" ht="15.75" x14ac:dyDescent="0.25">
      <c r="A31" s="196"/>
      <c r="B31" s="196" t="s">
        <v>59</v>
      </c>
      <c r="C31" s="197">
        <f>SUM(C32:C33)</f>
        <v>0</v>
      </c>
      <c r="D31" s="198">
        <v>296.98</v>
      </c>
      <c r="E31" s="197">
        <f>SUM(E32:E33)</f>
        <v>350</v>
      </c>
      <c r="F31" s="202"/>
    </row>
    <row r="32" spans="1:6" x14ac:dyDescent="0.25">
      <c r="A32" s="205"/>
      <c r="B32" s="200" t="s">
        <v>220</v>
      </c>
      <c r="C32" s="198">
        <v>0</v>
      </c>
      <c r="D32" s="198">
        <v>296.98</v>
      </c>
      <c r="E32" s="198">
        <v>0</v>
      </c>
      <c r="F32" s="199"/>
    </row>
    <row r="33" spans="1:6" x14ac:dyDescent="0.25">
      <c r="A33" s="205"/>
      <c r="B33" s="200" t="s">
        <v>221</v>
      </c>
      <c r="C33" s="198">
        <v>0</v>
      </c>
      <c r="D33" s="199">
        <v>0</v>
      </c>
      <c r="E33" s="198">
        <v>350</v>
      </c>
      <c r="F33" s="199"/>
    </row>
    <row r="34" spans="1:6" ht="15.75" x14ac:dyDescent="0.25">
      <c r="A34" s="196"/>
      <c r="B34" s="196" t="s">
        <v>62</v>
      </c>
      <c r="C34" s="197">
        <v>0</v>
      </c>
      <c r="D34" s="199">
        <v>10000</v>
      </c>
      <c r="E34" s="197">
        <v>0</v>
      </c>
      <c r="F34" s="202"/>
    </row>
    <row r="35" spans="1:6" ht="15.75" x14ac:dyDescent="0.25">
      <c r="A35" s="196"/>
      <c r="B35" s="196" t="s">
        <v>205</v>
      </c>
      <c r="C35" s="197"/>
      <c r="D35" s="199">
        <v>2250</v>
      </c>
      <c r="E35" s="197">
        <v>3000</v>
      </c>
      <c r="F35" s="202"/>
    </row>
    <row r="36" spans="1:6" ht="15.75" x14ac:dyDescent="0.25">
      <c r="A36" s="196"/>
      <c r="B36" s="196" t="s">
        <v>63</v>
      </c>
      <c r="C36" s="202">
        <f>SUM(C37:C39)</f>
        <v>200</v>
      </c>
      <c r="D36" s="199">
        <f>SUM(D37:D39)</f>
        <v>5027.97</v>
      </c>
      <c r="E36" s="202">
        <f>SUM(E37:E39)</f>
        <v>6600</v>
      </c>
      <c r="F36" s="202"/>
    </row>
    <row r="37" spans="1:6" x14ac:dyDescent="0.25">
      <c r="A37" s="205"/>
      <c r="B37" s="200" t="s">
        <v>217</v>
      </c>
      <c r="C37" s="198"/>
      <c r="D37" s="199">
        <v>2027.97</v>
      </c>
      <c r="E37" s="198">
        <v>2100</v>
      </c>
      <c r="F37" s="199"/>
    </row>
    <row r="38" spans="1:6" x14ac:dyDescent="0.25">
      <c r="A38" s="205"/>
      <c r="B38" s="200" t="s">
        <v>218</v>
      </c>
      <c r="C38" s="198"/>
      <c r="D38" s="199">
        <v>3000</v>
      </c>
      <c r="E38" s="198">
        <v>3000</v>
      </c>
      <c r="F38" s="199"/>
    </row>
    <row r="39" spans="1:6" x14ac:dyDescent="0.25">
      <c r="A39" s="205"/>
      <c r="B39" s="200" t="s">
        <v>219</v>
      </c>
      <c r="C39" s="198">
        <v>200</v>
      </c>
      <c r="D39" s="199">
        <v>0</v>
      </c>
      <c r="E39" s="198">
        <v>1500</v>
      </c>
      <c r="F39" s="199" t="s">
        <v>295</v>
      </c>
    </row>
    <row r="40" spans="1:6" ht="15.75" x14ac:dyDescent="0.25">
      <c r="A40" s="196"/>
      <c r="B40" s="196" t="s">
        <v>68</v>
      </c>
      <c r="C40" s="197">
        <v>1250</v>
      </c>
      <c r="D40" s="199">
        <v>1750.77</v>
      </c>
      <c r="E40" s="197">
        <v>3000</v>
      </c>
      <c r="F40" s="202" t="s">
        <v>296</v>
      </c>
    </row>
    <row r="41" spans="1:6" ht="15.75" x14ac:dyDescent="0.25">
      <c r="A41" s="246" t="s">
        <v>69</v>
      </c>
      <c r="B41" s="246"/>
      <c r="C41" s="203">
        <f>SUM(C20, C27, C28, C29, C30, C31, C34, C35, C36, C40)</f>
        <v>2654.41</v>
      </c>
      <c r="D41" s="204">
        <f>SUM(D20, D27, D28, D29, D30, D31, D34, D35, D36, D40)</f>
        <v>76074.310000000012</v>
      </c>
      <c r="E41" s="203">
        <f>SUM(E20, E27, E28, E29, E30, E31, E34, E35, E36, E40)</f>
        <v>44600</v>
      </c>
      <c r="F41" s="203"/>
    </row>
    <row r="42" spans="1:6" ht="15.75" x14ac:dyDescent="0.25">
      <c r="A42" s="196"/>
      <c r="B42" s="196"/>
      <c r="C42" s="206">
        <f>ROUND(C18-C41,5)</f>
        <v>17152.03</v>
      </c>
      <c r="D42" s="207">
        <f>ROUND(D18-D41,5)</f>
        <v>-14874.44</v>
      </c>
      <c r="E42" s="206">
        <f>ROUND(E18-E41,5)</f>
        <v>-20400</v>
      </c>
      <c r="F42" s="206"/>
    </row>
    <row r="43" spans="1:6" ht="15.75" x14ac:dyDescent="0.25">
      <c r="A43" s="208"/>
      <c r="B43" s="208"/>
      <c r="C43" s="208"/>
      <c r="D43" s="208"/>
      <c r="E43" s="208"/>
      <c r="F43" s="208"/>
    </row>
    <row r="44" spans="1:6" ht="15.75" x14ac:dyDescent="0.25">
      <c r="A44" s="208"/>
      <c r="B44" s="209" t="s">
        <v>93</v>
      </c>
      <c r="C44" s="209"/>
      <c r="D44" s="209"/>
      <c r="E44" s="209"/>
      <c r="F44" s="209"/>
    </row>
    <row r="45" spans="1:6" ht="15.75" x14ac:dyDescent="0.25">
      <c r="A45" s="208"/>
      <c r="B45" s="208" t="s">
        <v>274</v>
      </c>
      <c r="C45" s="208"/>
      <c r="D45" s="210">
        <v>53336.11</v>
      </c>
      <c r="E45" s="210"/>
      <c r="F45" s="210"/>
    </row>
    <row r="46" spans="1:6" ht="15.75" x14ac:dyDescent="0.25">
      <c r="A46" s="208"/>
      <c r="B46" s="208" t="s">
        <v>95</v>
      </c>
      <c r="C46" s="208"/>
      <c r="D46" s="210">
        <f>C42</f>
        <v>17152.03</v>
      </c>
      <c r="E46" s="210"/>
      <c r="F46" s="210"/>
    </row>
    <row r="47" spans="1:6" ht="15.75" x14ac:dyDescent="0.25">
      <c r="A47" s="208"/>
      <c r="B47" s="211" t="s">
        <v>294</v>
      </c>
      <c r="C47" s="208"/>
      <c r="D47" s="210">
        <f>SUM(D45:D46)</f>
        <v>70488.14</v>
      </c>
      <c r="E47" s="210"/>
      <c r="F47" s="210"/>
    </row>
    <row r="48" spans="1:6" ht="16.5" thickBot="1" x14ac:dyDescent="0.3">
      <c r="A48" s="212"/>
      <c r="B48" s="212"/>
      <c r="C48" s="213"/>
      <c r="D48" s="213"/>
      <c r="E48" s="213"/>
      <c r="F48" s="212"/>
    </row>
    <row r="49" spans="1:6" ht="15.75" x14ac:dyDescent="0.25">
      <c r="A49" s="212"/>
      <c r="B49" s="214" t="s">
        <v>293</v>
      </c>
      <c r="C49" s="215"/>
      <c r="D49" s="216"/>
      <c r="E49" s="217"/>
      <c r="F49" s="217"/>
    </row>
    <row r="50" spans="1:6" ht="15.75" x14ac:dyDescent="0.25">
      <c r="A50" s="212"/>
      <c r="B50" s="218" t="s">
        <v>240</v>
      </c>
      <c r="C50" s="217"/>
      <c r="D50" s="219">
        <v>45579.32</v>
      </c>
      <c r="E50" s="217"/>
      <c r="F50" s="217"/>
    </row>
    <row r="51" spans="1:6" ht="15.75" x14ac:dyDescent="0.25">
      <c r="A51" s="212"/>
      <c r="B51" s="218" t="s">
        <v>241</v>
      </c>
      <c r="C51" s="217"/>
      <c r="D51" s="219">
        <v>24908.82</v>
      </c>
      <c r="E51" s="217"/>
      <c r="F51" s="217"/>
    </row>
    <row r="52" spans="1:6" ht="16.5" thickBot="1" x14ac:dyDescent="0.3">
      <c r="A52" s="212"/>
      <c r="B52" s="220" t="s">
        <v>242</v>
      </c>
      <c r="C52" s="221"/>
      <c r="D52" s="222">
        <f>SUM(D50:D51)</f>
        <v>70488.14</v>
      </c>
      <c r="E52" s="217"/>
      <c r="F52" s="217"/>
    </row>
  </sheetData>
  <mergeCells count="5">
    <mergeCell ref="A4:B4"/>
    <mergeCell ref="A18:B18"/>
    <mergeCell ref="A19:B19"/>
    <mergeCell ref="A41:B41"/>
    <mergeCell ref="A1:F2"/>
  </mergeCells>
  <pageMargins left="0.25" right="0.25" top="0.75" bottom="0.75" header="0.3" footer="0.3"/>
  <pageSetup scale="6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02CA-45F1-4C0A-9141-80F9830A45AC}">
  <sheetPr>
    <pageSetUpPr fitToPage="1"/>
  </sheetPr>
  <dimension ref="A1:K49"/>
  <sheetViews>
    <sheetView topLeftCell="B1" zoomScaleNormal="100" workbookViewId="0">
      <selection activeCell="D29" sqref="D29"/>
    </sheetView>
  </sheetViews>
  <sheetFormatPr defaultColWidth="8.85546875" defaultRowHeight="15.75" x14ac:dyDescent="0.25"/>
  <cols>
    <col min="1" max="1" width="5.7109375" style="1" customWidth="1"/>
    <col min="2" max="2" width="41.28515625" style="1" bestFit="1" customWidth="1"/>
    <col min="3" max="3" width="2.85546875" style="1" customWidth="1"/>
    <col min="4" max="4" width="22.140625" style="1" bestFit="1" customWidth="1"/>
    <col min="5" max="5" width="26" style="1" customWidth="1"/>
    <col min="6" max="6" width="2.85546875" style="1" customWidth="1"/>
    <col min="7" max="7" width="23.85546875" style="1" customWidth="1"/>
    <col min="8" max="8" width="2.85546875" style="1" customWidth="1"/>
    <col min="9" max="9" width="16.85546875" style="1" bestFit="1" customWidth="1"/>
    <col min="10" max="10" width="44.42578125" style="78" customWidth="1"/>
    <col min="11" max="11" width="44.140625" style="149" customWidth="1"/>
    <col min="12" max="12" width="12.85546875" style="1" bestFit="1" customWidth="1"/>
    <col min="13" max="16384" width="8.85546875" style="1"/>
  </cols>
  <sheetData>
    <row r="1" spans="1:11" x14ac:dyDescent="0.25">
      <c r="A1" s="254" t="s">
        <v>258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x14ac:dyDescent="0.2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33" x14ac:dyDescent="0.3">
      <c r="A3" s="150"/>
      <c r="B3" s="150"/>
      <c r="C3" s="151"/>
      <c r="D3" s="152" t="s">
        <v>277</v>
      </c>
      <c r="E3" s="152" t="s">
        <v>278</v>
      </c>
      <c r="F3" s="153"/>
      <c r="G3" s="152" t="s">
        <v>279</v>
      </c>
      <c r="H3" s="154"/>
      <c r="I3" s="155" t="s">
        <v>232</v>
      </c>
      <c r="J3" s="151" t="s">
        <v>259</v>
      </c>
      <c r="K3" s="156" t="s">
        <v>260</v>
      </c>
    </row>
    <row r="4" spans="1:11" ht="16.5" x14ac:dyDescent="0.3">
      <c r="A4" s="255" t="s">
        <v>4</v>
      </c>
      <c r="B4" s="255"/>
      <c r="C4" s="158"/>
      <c r="D4" s="158"/>
      <c r="E4" s="158"/>
      <c r="F4" s="159"/>
      <c r="G4" s="158"/>
      <c r="H4" s="160"/>
      <c r="I4" s="158"/>
      <c r="J4" s="161"/>
      <c r="K4" s="161"/>
    </row>
    <row r="5" spans="1:11" ht="33" x14ac:dyDescent="0.3">
      <c r="A5" s="157"/>
      <c r="B5" s="157" t="s">
        <v>272</v>
      </c>
      <c r="C5" s="162"/>
      <c r="D5" s="162">
        <v>5000</v>
      </c>
      <c r="E5" s="162">
        <v>13735.87</v>
      </c>
      <c r="F5" s="162"/>
      <c r="G5" s="162">
        <v>11970.78</v>
      </c>
      <c r="H5" s="163"/>
      <c r="I5" s="162">
        <v>10000</v>
      </c>
      <c r="J5" s="161"/>
      <c r="K5" s="161" t="s">
        <v>281</v>
      </c>
    </row>
    <row r="6" spans="1:11" ht="33" x14ac:dyDescent="0.3">
      <c r="A6" s="157"/>
      <c r="B6" s="157" t="s">
        <v>11</v>
      </c>
      <c r="C6" s="162"/>
      <c r="D6" s="162">
        <v>11000</v>
      </c>
      <c r="E6" s="164">
        <v>19064.89</v>
      </c>
      <c r="F6" s="162"/>
      <c r="G6" s="164">
        <v>18806.87</v>
      </c>
      <c r="H6" s="163"/>
      <c r="I6" s="162">
        <v>18500</v>
      </c>
      <c r="J6" s="161" t="s">
        <v>280</v>
      </c>
      <c r="K6" s="161" t="s">
        <v>286</v>
      </c>
    </row>
    <row r="7" spans="1:11" ht="66" x14ac:dyDescent="0.3">
      <c r="A7" s="157"/>
      <c r="B7" s="157" t="s">
        <v>285</v>
      </c>
      <c r="C7" s="162"/>
      <c r="D7" s="162">
        <v>2500</v>
      </c>
      <c r="E7" s="164">
        <v>5247</v>
      </c>
      <c r="F7" s="162"/>
      <c r="G7" s="164">
        <v>5868.5</v>
      </c>
      <c r="H7" s="163"/>
      <c r="I7" s="162">
        <v>5000</v>
      </c>
      <c r="J7" s="161" t="s">
        <v>283</v>
      </c>
      <c r="K7" s="161" t="s">
        <v>284</v>
      </c>
    </row>
    <row r="8" spans="1:11" ht="33" x14ac:dyDescent="0.3">
      <c r="A8" s="157"/>
      <c r="B8" s="157" t="s">
        <v>202</v>
      </c>
      <c r="C8" s="162"/>
      <c r="D8" s="162">
        <v>0</v>
      </c>
      <c r="E8" s="164">
        <v>18088.48</v>
      </c>
      <c r="F8" s="162"/>
      <c r="G8" s="164">
        <v>22392.34</v>
      </c>
      <c r="H8" s="163"/>
      <c r="I8" s="162">
        <f>(4000*3)+5000</f>
        <v>17000</v>
      </c>
      <c r="J8" s="161"/>
      <c r="K8" s="161" t="s">
        <v>261</v>
      </c>
    </row>
    <row r="9" spans="1:11" ht="33" x14ac:dyDescent="0.3">
      <c r="A9" s="157"/>
      <c r="B9" s="157" t="s">
        <v>203</v>
      </c>
      <c r="C9" s="162"/>
      <c r="D9" s="162">
        <v>2000</v>
      </c>
      <c r="E9" s="164">
        <v>-384.69</v>
      </c>
      <c r="F9" s="162"/>
      <c r="G9" s="164">
        <f>3901.73+76.99</f>
        <v>3978.72</v>
      </c>
      <c r="H9" s="163"/>
      <c r="I9" s="162">
        <v>3000</v>
      </c>
      <c r="J9" s="161"/>
      <c r="K9" s="161" t="s">
        <v>262</v>
      </c>
    </row>
    <row r="10" spans="1:11" ht="16.5" x14ac:dyDescent="0.3">
      <c r="A10" s="157"/>
      <c r="B10" s="157" t="s">
        <v>44</v>
      </c>
      <c r="C10" s="162"/>
      <c r="D10" s="162">
        <v>0</v>
      </c>
      <c r="E10" s="164">
        <v>3310</v>
      </c>
      <c r="F10" s="162"/>
      <c r="G10" s="164">
        <v>3591.11</v>
      </c>
      <c r="H10" s="163"/>
      <c r="I10" s="162">
        <v>2000</v>
      </c>
      <c r="J10" s="161"/>
      <c r="K10" s="161"/>
    </row>
    <row r="11" spans="1:11" ht="16.5" x14ac:dyDescent="0.3">
      <c r="A11" s="157"/>
      <c r="B11" s="157" t="s">
        <v>46</v>
      </c>
      <c r="C11" s="162"/>
      <c r="D11" s="162">
        <v>0</v>
      </c>
      <c r="E11" s="164">
        <v>1020</v>
      </c>
      <c r="F11" s="162"/>
      <c r="G11" s="164">
        <v>897</v>
      </c>
      <c r="H11" s="163"/>
      <c r="I11" s="162">
        <f>900</f>
        <v>900</v>
      </c>
      <c r="J11" s="161"/>
      <c r="K11" s="161"/>
    </row>
    <row r="12" spans="1:11" ht="33" x14ac:dyDescent="0.3">
      <c r="A12" s="157"/>
      <c r="B12" s="157" t="s">
        <v>49</v>
      </c>
      <c r="C12" s="162"/>
      <c r="D12" s="164">
        <v>2600</v>
      </c>
      <c r="E12" s="164">
        <v>1244.32</v>
      </c>
      <c r="F12" s="162"/>
      <c r="G12" s="164">
        <v>90.1</v>
      </c>
      <c r="H12" s="163"/>
      <c r="I12" s="162">
        <v>2600</v>
      </c>
      <c r="J12" s="161" t="s">
        <v>253</v>
      </c>
      <c r="K12" s="161" t="s">
        <v>273</v>
      </c>
    </row>
    <row r="13" spans="1:11" ht="16.5" x14ac:dyDescent="0.3">
      <c r="A13" s="157"/>
      <c r="B13" s="157" t="s">
        <v>263</v>
      </c>
      <c r="C13" s="162"/>
      <c r="D13" s="162">
        <v>1300</v>
      </c>
      <c r="E13" s="164"/>
      <c r="F13" s="162"/>
      <c r="G13" s="164"/>
      <c r="H13" s="163"/>
      <c r="I13" s="162"/>
      <c r="J13" s="161"/>
      <c r="K13" s="161" t="s">
        <v>264</v>
      </c>
    </row>
    <row r="14" spans="1:11" ht="16.5" x14ac:dyDescent="0.3">
      <c r="A14" s="157"/>
      <c r="B14" s="157" t="s">
        <v>51</v>
      </c>
      <c r="C14" s="162"/>
      <c r="D14" s="162">
        <v>-200</v>
      </c>
      <c r="E14" s="162">
        <v>-126</v>
      </c>
      <c r="F14" s="162"/>
      <c r="G14" s="162">
        <v>0</v>
      </c>
      <c r="H14" s="163"/>
      <c r="I14" s="162">
        <v>0</v>
      </c>
      <c r="J14" s="161"/>
      <c r="K14" s="161" t="s">
        <v>257</v>
      </c>
    </row>
    <row r="15" spans="1:11" ht="16.5" x14ac:dyDescent="0.3">
      <c r="A15" s="255" t="s">
        <v>53</v>
      </c>
      <c r="B15" s="255"/>
      <c r="C15" s="165"/>
      <c r="D15" s="165">
        <f>ROUND(SUM(D5:D14),5)</f>
        <v>24200</v>
      </c>
      <c r="E15" s="165">
        <f>ROUND(SUM(E4:E14),5)</f>
        <v>61199.87</v>
      </c>
      <c r="F15" s="165"/>
      <c r="G15" s="165">
        <f>ROUND(SUM(G4:G14),5)</f>
        <v>67595.42</v>
      </c>
      <c r="H15" s="166"/>
      <c r="I15" s="165">
        <f>ROUND(SUM(I4:I14),5)</f>
        <v>59000</v>
      </c>
      <c r="J15" s="161"/>
      <c r="K15" s="161"/>
    </row>
    <row r="16" spans="1:11" ht="16.5" x14ac:dyDescent="0.3">
      <c r="A16" s="255" t="s">
        <v>6</v>
      </c>
      <c r="B16" s="255"/>
      <c r="C16" s="162"/>
      <c r="D16" s="162"/>
      <c r="E16" s="162"/>
      <c r="F16" s="162"/>
      <c r="G16" s="162"/>
      <c r="H16" s="163"/>
      <c r="I16" s="162"/>
      <c r="J16" s="161"/>
      <c r="K16" s="161"/>
    </row>
    <row r="17" spans="1:11" ht="16.5" x14ac:dyDescent="0.3">
      <c r="A17" s="157"/>
      <c r="B17" s="157" t="s">
        <v>54</v>
      </c>
      <c r="C17" s="162"/>
      <c r="D17" s="162">
        <f>SUM(D18:D23)</f>
        <v>2950</v>
      </c>
      <c r="E17" s="162">
        <f>SUM(E18:E23)</f>
        <v>3209.01</v>
      </c>
      <c r="F17" s="162"/>
      <c r="G17" s="162">
        <v>3030.34</v>
      </c>
      <c r="H17" s="163"/>
      <c r="I17" s="162">
        <v>3500</v>
      </c>
      <c r="J17" s="161"/>
      <c r="K17" s="161"/>
    </row>
    <row r="18" spans="1:11" s="39" customFormat="1" x14ac:dyDescent="0.3">
      <c r="A18" s="167"/>
      <c r="B18" s="167" t="s">
        <v>216</v>
      </c>
      <c r="C18" s="168"/>
      <c r="D18" s="168">
        <v>1400</v>
      </c>
      <c r="E18" s="168">
        <v>1380</v>
      </c>
      <c r="F18" s="168"/>
      <c r="G18" s="168">
        <v>1300</v>
      </c>
      <c r="H18" s="169"/>
      <c r="I18" s="168">
        <v>1300</v>
      </c>
      <c r="J18" s="170"/>
      <c r="K18" s="170" t="s">
        <v>265</v>
      </c>
    </row>
    <row r="19" spans="1:11" s="39" customFormat="1" ht="31.5" x14ac:dyDescent="0.3">
      <c r="A19" s="167"/>
      <c r="B19" s="167" t="s">
        <v>215</v>
      </c>
      <c r="C19" s="168"/>
      <c r="D19" s="168">
        <v>800</v>
      </c>
      <c r="E19" s="168">
        <v>1081.9000000000001</v>
      </c>
      <c r="F19" s="168"/>
      <c r="G19" s="168">
        <v>861.15</v>
      </c>
      <c r="H19" s="169"/>
      <c r="I19" s="168">
        <v>1550</v>
      </c>
      <c r="J19" s="170" t="s">
        <v>266</v>
      </c>
      <c r="K19" s="170" t="s">
        <v>267</v>
      </c>
    </row>
    <row r="20" spans="1:11" s="39" customFormat="1" x14ac:dyDescent="0.3">
      <c r="A20" s="167"/>
      <c r="B20" s="167" t="s">
        <v>214</v>
      </c>
      <c r="C20" s="168"/>
      <c r="D20" s="168">
        <v>100</v>
      </c>
      <c r="E20" s="168">
        <v>149.5</v>
      </c>
      <c r="F20" s="168"/>
      <c r="G20" s="168">
        <v>251.19</v>
      </c>
      <c r="H20" s="169"/>
      <c r="I20" s="168">
        <v>100</v>
      </c>
      <c r="J20" s="170"/>
      <c r="K20" s="170"/>
    </row>
    <row r="21" spans="1:11" s="39" customFormat="1" x14ac:dyDescent="0.3">
      <c r="A21" s="167"/>
      <c r="B21" s="167" t="s">
        <v>212</v>
      </c>
      <c r="C21" s="168"/>
      <c r="D21" s="168">
        <v>600</v>
      </c>
      <c r="E21" s="168">
        <v>601</v>
      </c>
      <c r="F21" s="168"/>
      <c r="G21" s="168">
        <v>590</v>
      </c>
      <c r="H21" s="169"/>
      <c r="I21" s="168">
        <v>750</v>
      </c>
      <c r="J21" s="170"/>
      <c r="K21" s="170"/>
    </row>
    <row r="22" spans="1:11" s="39" customFormat="1" x14ac:dyDescent="0.3">
      <c r="A22" s="167"/>
      <c r="B22" s="167" t="s">
        <v>282</v>
      </c>
      <c r="C22" s="168"/>
      <c r="D22" s="168">
        <v>0</v>
      </c>
      <c r="E22" s="168">
        <v>-18.39</v>
      </c>
      <c r="F22" s="168"/>
      <c r="G22" s="168">
        <v>-30.31</v>
      </c>
      <c r="H22" s="169"/>
      <c r="I22" s="168">
        <v>0</v>
      </c>
      <c r="J22" s="170"/>
      <c r="K22" s="170"/>
    </row>
    <row r="23" spans="1:11" s="39" customFormat="1" x14ac:dyDescent="0.3">
      <c r="A23" s="167"/>
      <c r="B23" s="167" t="s">
        <v>211</v>
      </c>
      <c r="C23" s="168"/>
      <c r="D23" s="168">
        <v>50</v>
      </c>
      <c r="E23" s="168">
        <v>15</v>
      </c>
      <c r="F23" s="168"/>
      <c r="G23" s="168">
        <v>28</v>
      </c>
      <c r="H23" s="169"/>
      <c r="I23" s="168">
        <v>50</v>
      </c>
      <c r="J23" s="170"/>
      <c r="K23" s="170"/>
    </row>
    <row r="24" spans="1:11" ht="16.5" x14ac:dyDescent="0.3">
      <c r="A24" s="157"/>
      <c r="B24" s="157" t="s">
        <v>55</v>
      </c>
      <c r="C24" s="162"/>
      <c r="D24" s="162">
        <v>25000</v>
      </c>
      <c r="E24" s="162">
        <v>46594.66</v>
      </c>
      <c r="F24" s="162"/>
      <c r="G24" s="162">
        <v>37962.01</v>
      </c>
      <c r="H24" s="163"/>
      <c r="I24" s="164">
        <v>50000</v>
      </c>
      <c r="J24" s="161"/>
      <c r="K24" s="161"/>
    </row>
    <row r="25" spans="1:11" ht="16.5" x14ac:dyDescent="0.3">
      <c r="A25" s="157"/>
      <c r="B25" s="157" t="s">
        <v>56</v>
      </c>
      <c r="C25" s="162"/>
      <c r="D25" s="162">
        <v>1000</v>
      </c>
      <c r="E25" s="162">
        <v>944.92</v>
      </c>
      <c r="F25" s="162"/>
      <c r="G25" s="162">
        <v>1015.59</v>
      </c>
      <c r="H25" s="163"/>
      <c r="I25" s="164">
        <v>1000</v>
      </c>
      <c r="J25" s="161"/>
      <c r="K25" s="161"/>
    </row>
    <row r="26" spans="1:11" ht="16.5" x14ac:dyDescent="0.3">
      <c r="A26" s="157"/>
      <c r="B26" s="157" t="s">
        <v>57</v>
      </c>
      <c r="C26" s="162"/>
      <c r="D26" s="162">
        <v>2700</v>
      </c>
      <c r="E26" s="162">
        <v>0</v>
      </c>
      <c r="F26" s="162"/>
      <c r="G26" s="162">
        <v>2672.94</v>
      </c>
      <c r="H26" s="163"/>
      <c r="I26" s="164">
        <v>2700</v>
      </c>
      <c r="J26" s="161"/>
      <c r="K26" s="161"/>
    </row>
    <row r="27" spans="1:11" ht="33" x14ac:dyDescent="0.3">
      <c r="A27" s="157"/>
      <c r="B27" s="157" t="s">
        <v>58</v>
      </c>
      <c r="C27" s="162"/>
      <c r="D27" s="162">
        <v>0</v>
      </c>
      <c r="E27" s="162">
        <v>6000</v>
      </c>
      <c r="F27" s="162"/>
      <c r="G27" s="162">
        <v>5000</v>
      </c>
      <c r="H27" s="163"/>
      <c r="I27" s="164">
        <v>6000</v>
      </c>
      <c r="J27" s="161" t="s">
        <v>268</v>
      </c>
      <c r="K27" s="161" t="s">
        <v>269</v>
      </c>
    </row>
    <row r="28" spans="1:11" ht="16.5" x14ac:dyDescent="0.3">
      <c r="A28" s="157"/>
      <c r="B28" s="157" t="s">
        <v>59</v>
      </c>
      <c r="C28" s="162"/>
      <c r="D28" s="162">
        <f>SUM(D29:D30)</f>
        <v>350</v>
      </c>
      <c r="E28" s="162">
        <v>296.98</v>
      </c>
      <c r="F28" s="162"/>
      <c r="G28" s="162">
        <v>62.17</v>
      </c>
      <c r="H28" s="163"/>
      <c r="I28" s="164">
        <v>800</v>
      </c>
      <c r="J28" s="161"/>
      <c r="K28" s="161"/>
    </row>
    <row r="29" spans="1:11" s="39" customFormat="1" x14ac:dyDescent="0.3">
      <c r="A29" s="171"/>
      <c r="B29" s="167" t="s">
        <v>220</v>
      </c>
      <c r="C29" s="168"/>
      <c r="D29" s="168">
        <v>0</v>
      </c>
      <c r="E29" s="168">
        <v>296.98</v>
      </c>
      <c r="F29" s="168"/>
      <c r="G29" s="168">
        <v>309.01</v>
      </c>
      <c r="H29" s="169"/>
      <c r="I29" s="172">
        <v>450</v>
      </c>
      <c r="J29" s="170"/>
      <c r="K29" s="170"/>
    </row>
    <row r="30" spans="1:11" s="39" customFormat="1" x14ac:dyDescent="0.3">
      <c r="A30" s="171"/>
      <c r="B30" s="167" t="s">
        <v>221</v>
      </c>
      <c r="C30" s="168"/>
      <c r="D30" s="168">
        <v>350</v>
      </c>
      <c r="E30" s="172">
        <v>0</v>
      </c>
      <c r="F30" s="168"/>
      <c r="G30" s="172">
        <v>-326.26</v>
      </c>
      <c r="H30" s="169"/>
      <c r="I30" s="172">
        <v>350</v>
      </c>
      <c r="J30" s="170"/>
      <c r="K30" s="170"/>
    </row>
    <row r="31" spans="1:11" ht="16.5" x14ac:dyDescent="0.3">
      <c r="A31" s="157"/>
      <c r="B31" s="157" t="s">
        <v>62</v>
      </c>
      <c r="C31" s="162"/>
      <c r="D31" s="162">
        <v>0</v>
      </c>
      <c r="E31" s="164">
        <v>10000</v>
      </c>
      <c r="F31" s="162"/>
      <c r="G31" s="164">
        <v>0</v>
      </c>
      <c r="H31" s="163"/>
      <c r="I31" s="164">
        <v>10000</v>
      </c>
      <c r="J31" s="161" t="s">
        <v>250</v>
      </c>
      <c r="K31" s="161"/>
    </row>
    <row r="32" spans="1:11" ht="49.5" x14ac:dyDescent="0.3">
      <c r="A32" s="157"/>
      <c r="B32" s="157" t="s">
        <v>205</v>
      </c>
      <c r="C32" s="162"/>
      <c r="D32" s="162">
        <v>3000</v>
      </c>
      <c r="E32" s="164">
        <v>2250</v>
      </c>
      <c r="F32" s="162"/>
      <c r="G32" s="164">
        <v>0</v>
      </c>
      <c r="H32" s="163"/>
      <c r="I32" s="164">
        <v>3000</v>
      </c>
      <c r="J32" s="161" t="s">
        <v>256</v>
      </c>
      <c r="K32" s="161"/>
    </row>
    <row r="33" spans="1:11" ht="16.5" x14ac:dyDescent="0.3">
      <c r="A33" s="157"/>
      <c r="B33" s="157" t="s">
        <v>63</v>
      </c>
      <c r="C33" s="162"/>
      <c r="D33" s="164">
        <f>SUM(D34:D36)</f>
        <v>6600</v>
      </c>
      <c r="E33" s="164">
        <f>SUM(E34:E36)</f>
        <v>5027.97</v>
      </c>
      <c r="F33" s="162"/>
      <c r="G33" s="164">
        <v>6503.36</v>
      </c>
      <c r="H33" s="163"/>
      <c r="I33" s="164">
        <v>6800</v>
      </c>
      <c r="J33" s="161"/>
      <c r="K33" s="161"/>
    </row>
    <row r="34" spans="1:11" s="39" customFormat="1" x14ac:dyDescent="0.3">
      <c r="A34" s="171"/>
      <c r="B34" s="167" t="s">
        <v>217</v>
      </c>
      <c r="C34" s="168"/>
      <c r="D34" s="168">
        <v>2100</v>
      </c>
      <c r="E34" s="172">
        <v>2027.97</v>
      </c>
      <c r="F34" s="168"/>
      <c r="G34" s="172">
        <v>2170.35</v>
      </c>
      <c r="H34" s="169"/>
      <c r="I34" s="172">
        <v>2300</v>
      </c>
      <c r="J34" s="170"/>
      <c r="K34" s="170"/>
    </row>
    <row r="35" spans="1:11" s="39" customFormat="1" x14ac:dyDescent="0.3">
      <c r="A35" s="171"/>
      <c r="B35" s="167" t="s">
        <v>218</v>
      </c>
      <c r="C35" s="168"/>
      <c r="D35" s="168">
        <v>3000</v>
      </c>
      <c r="E35" s="172">
        <v>3000</v>
      </c>
      <c r="F35" s="168"/>
      <c r="G35" s="172">
        <v>3000</v>
      </c>
      <c r="H35" s="169"/>
      <c r="I35" s="172">
        <v>3000</v>
      </c>
      <c r="J35" s="170"/>
      <c r="K35" s="170"/>
    </row>
    <row r="36" spans="1:11" s="39" customFormat="1" x14ac:dyDescent="0.3">
      <c r="A36" s="171"/>
      <c r="B36" s="167" t="s">
        <v>219</v>
      </c>
      <c r="C36" s="168"/>
      <c r="D36" s="168">
        <v>1500</v>
      </c>
      <c r="E36" s="172">
        <v>0</v>
      </c>
      <c r="F36" s="168"/>
      <c r="G36" s="172">
        <v>1333.01</v>
      </c>
      <c r="H36" s="169"/>
      <c r="I36" s="172">
        <v>1500</v>
      </c>
      <c r="J36" s="170"/>
      <c r="K36" s="170" t="s">
        <v>270</v>
      </c>
    </row>
    <row r="37" spans="1:11" ht="49.5" x14ac:dyDescent="0.3">
      <c r="A37" s="157"/>
      <c r="B37" s="157" t="s">
        <v>68</v>
      </c>
      <c r="C37" s="162"/>
      <c r="D37" s="162">
        <v>3000</v>
      </c>
      <c r="E37" s="164">
        <v>1750.77</v>
      </c>
      <c r="F37" s="162"/>
      <c r="G37" s="164">
        <v>900</v>
      </c>
      <c r="H37" s="163"/>
      <c r="I37" s="164">
        <f>1000+1500</f>
        <v>2500</v>
      </c>
      <c r="J37" s="161" t="s">
        <v>244</v>
      </c>
      <c r="K37" s="161" t="s">
        <v>271</v>
      </c>
    </row>
    <row r="38" spans="1:11" ht="16.5" x14ac:dyDescent="0.3">
      <c r="A38" s="255" t="s">
        <v>69</v>
      </c>
      <c r="B38" s="255"/>
      <c r="C38" s="165"/>
      <c r="D38" s="165">
        <f>SUM(D17, D24, D25, D26, D27, D28, D31, D32, D33, D37)</f>
        <v>44600</v>
      </c>
      <c r="E38" s="165">
        <f>SUM(E17, E24, E25, E26, E27, E28, E31, E32, E33, E37)</f>
        <v>76074.310000000012</v>
      </c>
      <c r="F38" s="165"/>
      <c r="G38" s="165">
        <f>ROUND(SUM(G16:G37),5)-G17-G33-G28</f>
        <v>57036.680000000008</v>
      </c>
      <c r="H38" s="166"/>
      <c r="I38" s="165">
        <f>ROUND(SUM(I16:I37),5)-I17-I33</f>
        <v>87350</v>
      </c>
      <c r="J38" s="161"/>
      <c r="K38" s="161"/>
    </row>
    <row r="39" spans="1:11" ht="16.5" x14ac:dyDescent="0.3">
      <c r="A39" s="157"/>
      <c r="B39" s="157"/>
      <c r="C39" s="173"/>
      <c r="D39" s="173">
        <f>ROUND(D15-D38,5)</f>
        <v>-20400</v>
      </c>
      <c r="E39" s="173">
        <f>ROUND(E15-E38,5)</f>
        <v>-14874.44</v>
      </c>
      <c r="F39" s="173"/>
      <c r="G39" s="173">
        <f>ROUND(G15-G38,5)</f>
        <v>10558.74</v>
      </c>
      <c r="H39" s="173"/>
      <c r="I39" s="173">
        <f>ROUND(I15-I38,5)</f>
        <v>-28350</v>
      </c>
      <c r="J39" s="174"/>
      <c r="K39" s="161"/>
    </row>
    <row r="40" spans="1:11" ht="16.5" x14ac:dyDescent="0.3">
      <c r="A40" s="160"/>
      <c r="B40" s="160"/>
      <c r="C40" s="160"/>
      <c r="D40" s="160"/>
      <c r="E40" s="160"/>
      <c r="F40" s="160"/>
      <c r="G40" s="160"/>
      <c r="H40" s="160"/>
      <c r="I40" s="160"/>
      <c r="J40" s="161"/>
      <c r="K40" s="161"/>
    </row>
    <row r="41" spans="1:11" ht="16.5" x14ac:dyDescent="0.3">
      <c r="A41" s="160"/>
      <c r="B41" s="160"/>
      <c r="C41" s="175"/>
      <c r="D41" s="175"/>
      <c r="E41" s="175" t="s">
        <v>93</v>
      </c>
      <c r="F41" s="175"/>
      <c r="G41" s="175"/>
      <c r="H41" s="175"/>
      <c r="I41" s="175"/>
      <c r="J41" s="176"/>
      <c r="K41" s="161"/>
    </row>
    <row r="42" spans="1:11" ht="16.5" x14ac:dyDescent="0.3">
      <c r="A42" s="160"/>
      <c r="B42" s="160"/>
      <c r="C42" s="163"/>
      <c r="D42" s="163"/>
      <c r="E42" s="160" t="s">
        <v>274</v>
      </c>
      <c r="F42" s="160"/>
      <c r="G42" s="160"/>
      <c r="H42" s="160"/>
      <c r="I42" s="163">
        <v>53336.11</v>
      </c>
      <c r="J42" s="161"/>
      <c r="K42" s="161"/>
    </row>
    <row r="43" spans="1:11" ht="16.5" x14ac:dyDescent="0.3">
      <c r="A43" s="160"/>
      <c r="B43" s="160"/>
      <c r="C43" s="163"/>
      <c r="D43" s="163"/>
      <c r="E43" s="160" t="s">
        <v>95</v>
      </c>
      <c r="F43" s="160"/>
      <c r="G43" s="160"/>
      <c r="H43" s="160"/>
      <c r="I43" s="163">
        <f>D39</f>
        <v>-20400</v>
      </c>
      <c r="J43" s="161"/>
      <c r="K43" s="161"/>
    </row>
    <row r="44" spans="1:11" ht="16.5" x14ac:dyDescent="0.3">
      <c r="A44" s="160"/>
      <c r="B44" s="160"/>
      <c r="C44" s="163"/>
      <c r="D44" s="163"/>
      <c r="E44" s="177" t="s">
        <v>275</v>
      </c>
      <c r="F44" s="160"/>
      <c r="G44" s="160"/>
      <c r="H44" s="160"/>
      <c r="I44" s="163">
        <f>SUM(I42:I43)</f>
        <v>32936.11</v>
      </c>
      <c r="J44" s="161"/>
      <c r="K44" s="161"/>
    </row>
    <row r="45" spans="1:11" ht="17.25" thickBot="1" x14ac:dyDescent="0.35">
      <c r="A45" s="178"/>
      <c r="B45" s="178"/>
      <c r="C45" s="179"/>
      <c r="D45" s="179"/>
      <c r="E45" s="178"/>
      <c r="F45" s="178"/>
      <c r="G45" s="178"/>
      <c r="H45" s="178"/>
      <c r="I45" s="179"/>
      <c r="J45" s="180"/>
      <c r="K45" s="180"/>
    </row>
    <row r="46" spans="1:11" ht="16.5" x14ac:dyDescent="0.3">
      <c r="A46" s="178"/>
      <c r="B46" s="181" t="s">
        <v>276</v>
      </c>
      <c r="C46" s="182"/>
      <c r="D46" s="182"/>
      <c r="E46" s="183"/>
      <c r="F46" s="178"/>
      <c r="G46" s="178"/>
      <c r="H46" s="178"/>
      <c r="I46" s="179"/>
      <c r="J46" s="180"/>
      <c r="K46" s="180"/>
    </row>
    <row r="47" spans="1:11" ht="16.5" x14ac:dyDescent="0.3">
      <c r="A47" s="178"/>
      <c r="B47" s="184" t="s">
        <v>240</v>
      </c>
      <c r="C47" s="178"/>
      <c r="D47" s="178"/>
      <c r="E47" s="185">
        <v>41324.480000000003</v>
      </c>
      <c r="F47" s="178"/>
      <c r="G47" s="178"/>
      <c r="H47" s="178"/>
      <c r="I47" s="178"/>
      <c r="J47" s="180"/>
      <c r="K47" s="180"/>
    </row>
    <row r="48" spans="1:11" ht="16.5" x14ac:dyDescent="0.3">
      <c r="A48" s="178"/>
      <c r="B48" s="184" t="s">
        <v>241</v>
      </c>
      <c r="C48" s="178"/>
      <c r="D48" s="178"/>
      <c r="E48" s="185">
        <v>12011.63</v>
      </c>
      <c r="F48" s="178"/>
      <c r="G48" s="178"/>
      <c r="H48" s="178"/>
      <c r="I48" s="178"/>
      <c r="J48" s="180"/>
      <c r="K48" s="180"/>
    </row>
    <row r="49" spans="1:11" ht="17.25" thickBot="1" x14ac:dyDescent="0.35">
      <c r="A49" s="178"/>
      <c r="B49" s="186" t="s">
        <v>242</v>
      </c>
      <c r="C49" s="187"/>
      <c r="D49" s="187"/>
      <c r="E49" s="188">
        <f>SUM(E47:E48)</f>
        <v>53336.11</v>
      </c>
      <c r="F49" s="178"/>
      <c r="G49" s="178"/>
      <c r="H49" s="178"/>
      <c r="I49" s="178"/>
      <c r="J49" s="180"/>
      <c r="K49" s="180"/>
    </row>
  </sheetData>
  <mergeCells count="5">
    <mergeCell ref="A1:K2"/>
    <mergeCell ref="A4:B4"/>
    <mergeCell ref="A15:B15"/>
    <mergeCell ref="A16:B16"/>
    <mergeCell ref="A38:B38"/>
  </mergeCells>
  <pageMargins left="0.25" right="0.25" top="0.5" bottom="0.5" header="0.3" footer="0.3"/>
  <pageSetup scale="53" orientation="landscape" r:id="rId1"/>
  <headerFooter>
    <oddFooter>&amp;R&amp;D</oddFooter>
  </headerFooter>
  <ignoredErrors>
    <ignoredError sqref="D17:E17 D33:E33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3386-37ED-4507-8728-17221D6B6046}">
  <sheetPr>
    <pageSetUpPr fitToPage="1"/>
  </sheetPr>
  <dimension ref="A1:I53"/>
  <sheetViews>
    <sheetView workbookViewId="0">
      <selection activeCell="D25" sqref="D25"/>
    </sheetView>
  </sheetViews>
  <sheetFormatPr defaultColWidth="8.85546875" defaultRowHeight="15.75" x14ac:dyDescent="0.25"/>
  <cols>
    <col min="1" max="1" width="4.7109375" style="1" customWidth="1"/>
    <col min="2" max="2" width="36.28515625" style="1" bestFit="1" customWidth="1"/>
    <col min="3" max="3" width="2.85546875" style="1" customWidth="1"/>
    <col min="4" max="4" width="19.7109375" style="1" bestFit="1" customWidth="1"/>
    <col min="5" max="5" width="2.85546875" style="1" customWidth="1"/>
    <col min="6" max="6" width="12.7109375" style="1" bestFit="1" customWidth="1"/>
    <col min="7" max="7" width="2.85546875" style="1" customWidth="1"/>
    <col min="8" max="8" width="13.5703125" style="1" bestFit="1" customWidth="1"/>
    <col min="9" max="9" width="49.42578125" style="1" customWidth="1"/>
    <col min="10" max="10" width="8.85546875" style="1"/>
    <col min="11" max="11" width="12.85546875" style="1" bestFit="1" customWidth="1"/>
    <col min="12" max="16384" width="8.85546875" style="1"/>
  </cols>
  <sheetData>
    <row r="1" spans="1:9" ht="21.95" customHeight="1" x14ac:dyDescent="0.25">
      <c r="A1" s="256" t="s">
        <v>254</v>
      </c>
      <c r="B1" s="257"/>
      <c r="C1" s="257"/>
      <c r="D1" s="257"/>
      <c r="E1" s="257"/>
      <c r="F1" s="257"/>
      <c r="G1" s="257"/>
      <c r="H1" s="257"/>
      <c r="I1" s="258"/>
    </row>
    <row r="2" spans="1:9" ht="16.5" customHeight="1" x14ac:dyDescent="0.25">
      <c r="A2" s="259"/>
      <c r="B2" s="260"/>
      <c r="C2" s="260"/>
      <c r="D2" s="260"/>
      <c r="E2" s="260"/>
      <c r="F2" s="260"/>
      <c r="G2" s="260"/>
      <c r="H2" s="260"/>
      <c r="I2" s="261"/>
    </row>
    <row r="3" spans="1:9" ht="65.45" customHeight="1" x14ac:dyDescent="0.25">
      <c r="A3" s="108"/>
      <c r="B3" s="108"/>
      <c r="C3" s="109"/>
      <c r="D3" s="109" t="s">
        <v>234</v>
      </c>
      <c r="E3" s="110"/>
      <c r="F3" s="109" t="s">
        <v>233</v>
      </c>
      <c r="G3" s="111"/>
      <c r="H3" s="112" t="s">
        <v>232</v>
      </c>
      <c r="I3" s="109" t="s">
        <v>160</v>
      </c>
    </row>
    <row r="4" spans="1:9" x14ac:dyDescent="0.25">
      <c r="A4" s="113" t="s">
        <v>4</v>
      </c>
      <c r="B4" s="113"/>
      <c r="C4" s="114"/>
      <c r="D4" s="114"/>
      <c r="E4" s="115"/>
      <c r="F4" s="114"/>
      <c r="G4" s="116"/>
      <c r="H4" s="114"/>
      <c r="I4" s="116"/>
    </row>
    <row r="5" spans="1:9" x14ac:dyDescent="0.25">
      <c r="A5" s="113"/>
      <c r="B5" s="113" t="s">
        <v>5</v>
      </c>
      <c r="C5" s="117"/>
      <c r="D5" s="117">
        <v>13735.87</v>
      </c>
      <c r="E5" s="117"/>
      <c r="F5" s="117">
        <v>11970.78</v>
      </c>
      <c r="G5" s="118"/>
      <c r="H5" s="117">
        <v>10000</v>
      </c>
      <c r="I5" s="116"/>
    </row>
    <row r="6" spans="1:9" x14ac:dyDescent="0.25">
      <c r="A6" s="113"/>
      <c r="B6" s="113" t="s">
        <v>10</v>
      </c>
      <c r="C6" s="117"/>
      <c r="D6" s="117">
        <v>18.39</v>
      </c>
      <c r="E6" s="117"/>
      <c r="F6" s="117">
        <v>30.31</v>
      </c>
      <c r="G6" s="118"/>
      <c r="H6" s="117">
        <v>0</v>
      </c>
      <c r="I6" s="116"/>
    </row>
    <row r="7" spans="1:9" ht="31.5" x14ac:dyDescent="0.25">
      <c r="A7" s="113"/>
      <c r="B7" s="113" t="s">
        <v>11</v>
      </c>
      <c r="C7" s="117"/>
      <c r="D7" s="119">
        <v>19064.89</v>
      </c>
      <c r="E7" s="117"/>
      <c r="F7" s="119">
        <v>18806.87</v>
      </c>
      <c r="G7" s="118"/>
      <c r="H7" s="117">
        <v>18500</v>
      </c>
      <c r="I7" s="120" t="s">
        <v>251</v>
      </c>
    </row>
    <row r="8" spans="1:9" x14ac:dyDescent="0.25">
      <c r="A8" s="113"/>
      <c r="B8" s="113" t="s">
        <v>15</v>
      </c>
      <c r="C8" s="117"/>
      <c r="D8" s="119">
        <v>160</v>
      </c>
      <c r="E8" s="117"/>
      <c r="F8" s="119">
        <v>5368.5</v>
      </c>
      <c r="G8" s="118"/>
      <c r="H8" s="117">
        <v>5000</v>
      </c>
      <c r="I8" s="116"/>
    </row>
    <row r="9" spans="1:9" x14ac:dyDescent="0.25">
      <c r="A9" s="113"/>
      <c r="B9" s="113" t="s">
        <v>16</v>
      </c>
      <c r="C9" s="117"/>
      <c r="D9" s="119">
        <v>5087</v>
      </c>
      <c r="E9" s="117"/>
      <c r="F9" s="119">
        <v>500</v>
      </c>
      <c r="G9" s="118"/>
      <c r="H9" s="117">
        <v>0</v>
      </c>
      <c r="I9" s="116"/>
    </row>
    <row r="10" spans="1:9" x14ac:dyDescent="0.25">
      <c r="A10" s="113"/>
      <c r="B10" s="113" t="s">
        <v>202</v>
      </c>
      <c r="C10" s="117"/>
      <c r="D10" s="119">
        <v>18088.48</v>
      </c>
      <c r="E10" s="117"/>
      <c r="F10" s="119">
        <v>22392.34</v>
      </c>
      <c r="G10" s="118"/>
      <c r="H10" s="117">
        <f>(4000*3)+5000</f>
        <v>17000</v>
      </c>
      <c r="I10" s="120" t="s">
        <v>252</v>
      </c>
    </row>
    <row r="11" spans="1:9" x14ac:dyDescent="0.25">
      <c r="A11" s="113"/>
      <c r="B11" s="113" t="s">
        <v>203</v>
      </c>
      <c r="C11" s="117"/>
      <c r="D11" s="119">
        <v>-384.69</v>
      </c>
      <c r="E11" s="117"/>
      <c r="F11" s="119">
        <f>3901.73+76.99</f>
        <v>3978.72</v>
      </c>
      <c r="G11" s="118"/>
      <c r="H11" s="117">
        <v>3000</v>
      </c>
      <c r="I11" s="120"/>
    </row>
    <row r="12" spans="1:9" x14ac:dyDescent="0.25">
      <c r="A12" s="113"/>
      <c r="B12" s="113" t="s">
        <v>204</v>
      </c>
      <c r="C12" s="117"/>
      <c r="D12" s="119">
        <v>0</v>
      </c>
      <c r="E12" s="117"/>
      <c r="F12" s="119">
        <v>0</v>
      </c>
      <c r="G12" s="118"/>
      <c r="H12" s="117"/>
      <c r="I12" s="120"/>
    </row>
    <row r="13" spans="1:9" x14ac:dyDescent="0.25">
      <c r="A13" s="113"/>
      <c r="B13" s="113" t="s">
        <v>44</v>
      </c>
      <c r="C13" s="117"/>
      <c r="D13" s="119">
        <v>3310</v>
      </c>
      <c r="E13" s="117"/>
      <c r="F13" s="119">
        <v>3591.11</v>
      </c>
      <c r="G13" s="118"/>
      <c r="H13" s="117">
        <v>2000</v>
      </c>
      <c r="I13" s="116"/>
    </row>
    <row r="14" spans="1:9" x14ac:dyDescent="0.25">
      <c r="A14" s="113"/>
      <c r="B14" s="113" t="s">
        <v>46</v>
      </c>
      <c r="C14" s="117"/>
      <c r="D14" s="119">
        <v>1020</v>
      </c>
      <c r="E14" s="117"/>
      <c r="F14" s="119">
        <v>897</v>
      </c>
      <c r="G14" s="118"/>
      <c r="H14" s="117">
        <f>900</f>
        <v>900</v>
      </c>
      <c r="I14" s="116"/>
    </row>
    <row r="15" spans="1:9" x14ac:dyDescent="0.25">
      <c r="A15" s="113"/>
      <c r="B15" s="113" t="s">
        <v>49</v>
      </c>
      <c r="C15" s="117"/>
      <c r="D15" s="119">
        <v>1244.32</v>
      </c>
      <c r="E15" s="117"/>
      <c r="F15" s="119">
        <v>90.1</v>
      </c>
      <c r="G15" s="118"/>
      <c r="H15" s="117">
        <v>2600</v>
      </c>
      <c r="I15" s="120" t="s">
        <v>253</v>
      </c>
    </row>
    <row r="16" spans="1:9" x14ac:dyDescent="0.25">
      <c r="A16" s="113"/>
      <c r="B16" s="113" t="s">
        <v>51</v>
      </c>
      <c r="C16" s="117"/>
      <c r="D16" s="117">
        <v>-126</v>
      </c>
      <c r="E16" s="117"/>
      <c r="F16" s="117">
        <v>0</v>
      </c>
      <c r="G16" s="118"/>
      <c r="H16" s="117">
        <v>0</v>
      </c>
      <c r="I16" s="116"/>
    </row>
    <row r="17" spans="1:9" x14ac:dyDescent="0.25">
      <c r="A17" s="113" t="s">
        <v>53</v>
      </c>
      <c r="B17" s="113"/>
      <c r="C17" s="121"/>
      <c r="D17" s="121">
        <f>ROUND(SUM(D4:D16),5)</f>
        <v>61218.26</v>
      </c>
      <c r="E17" s="121"/>
      <c r="F17" s="121">
        <f>ROUND(SUM(F4:F16),5)</f>
        <v>67625.73</v>
      </c>
      <c r="G17" s="122"/>
      <c r="H17" s="121">
        <f>ROUND(SUM(H4:H16),5)</f>
        <v>59000</v>
      </c>
      <c r="I17" s="116"/>
    </row>
    <row r="18" spans="1:9" x14ac:dyDescent="0.25">
      <c r="A18" s="113" t="s">
        <v>6</v>
      </c>
      <c r="B18" s="113"/>
      <c r="C18" s="117"/>
      <c r="D18" s="117"/>
      <c r="E18" s="117"/>
      <c r="F18" s="117"/>
      <c r="G18" s="118"/>
      <c r="H18" s="117"/>
      <c r="I18" s="116"/>
    </row>
    <row r="19" spans="1:9" x14ac:dyDescent="0.25">
      <c r="A19" s="113"/>
      <c r="B19" s="113" t="s">
        <v>54</v>
      </c>
      <c r="C19" s="117"/>
      <c r="D19" s="117">
        <f>SUM(D20:D25)</f>
        <v>3227.4</v>
      </c>
      <c r="E19" s="117"/>
      <c r="F19" s="117">
        <v>3030.34</v>
      </c>
      <c r="G19" s="118"/>
      <c r="H19" s="117">
        <v>3500</v>
      </c>
      <c r="I19" s="116"/>
    </row>
    <row r="20" spans="1:9" s="39" customFormat="1" ht="15" x14ac:dyDescent="0.25">
      <c r="A20" s="123"/>
      <c r="B20" s="123" t="s">
        <v>216</v>
      </c>
      <c r="C20" s="124"/>
      <c r="D20" s="124">
        <v>1380</v>
      </c>
      <c r="E20" s="124"/>
      <c r="F20" s="124">
        <v>1300</v>
      </c>
      <c r="G20" s="125"/>
      <c r="H20" s="124">
        <v>1300</v>
      </c>
      <c r="I20" s="146"/>
    </row>
    <row r="21" spans="1:9" s="39" customFormat="1" ht="15" x14ac:dyDescent="0.25">
      <c r="A21" s="123"/>
      <c r="B21" s="123" t="s">
        <v>215</v>
      </c>
      <c r="C21" s="124"/>
      <c r="D21" s="124">
        <v>1081.9000000000001</v>
      </c>
      <c r="E21" s="124"/>
      <c r="F21" s="124">
        <v>861.15</v>
      </c>
      <c r="G21" s="125"/>
      <c r="H21" s="124">
        <v>1550</v>
      </c>
      <c r="I21" s="146"/>
    </row>
    <row r="22" spans="1:9" s="39" customFormat="1" ht="15" x14ac:dyDescent="0.25">
      <c r="A22" s="123"/>
      <c r="B22" s="123" t="s">
        <v>214</v>
      </c>
      <c r="C22" s="124"/>
      <c r="D22" s="124">
        <v>149.5</v>
      </c>
      <c r="E22" s="124"/>
      <c r="F22" s="124">
        <v>251.19</v>
      </c>
      <c r="G22" s="125"/>
      <c r="H22" s="124">
        <v>100</v>
      </c>
      <c r="I22" s="146"/>
    </row>
    <row r="23" spans="1:9" s="39" customFormat="1" ht="15" x14ac:dyDescent="0.25">
      <c r="A23" s="123"/>
      <c r="B23" s="123" t="s">
        <v>213</v>
      </c>
      <c r="C23" s="124"/>
      <c r="D23" s="124">
        <v>0</v>
      </c>
      <c r="E23" s="124"/>
      <c r="F23" s="124">
        <v>0</v>
      </c>
      <c r="G23" s="125"/>
      <c r="H23" s="124">
        <v>0</v>
      </c>
      <c r="I23" s="146"/>
    </row>
    <row r="24" spans="1:9" s="39" customFormat="1" ht="15" x14ac:dyDescent="0.25">
      <c r="A24" s="123"/>
      <c r="B24" s="123" t="s">
        <v>212</v>
      </c>
      <c r="C24" s="124"/>
      <c r="D24" s="124">
        <v>601</v>
      </c>
      <c r="E24" s="124"/>
      <c r="F24" s="124">
        <v>590</v>
      </c>
      <c r="G24" s="125"/>
      <c r="H24" s="124">
        <v>750</v>
      </c>
      <c r="I24" s="146"/>
    </row>
    <row r="25" spans="1:9" s="39" customFormat="1" ht="15" x14ac:dyDescent="0.25">
      <c r="A25" s="123"/>
      <c r="B25" s="123" t="s">
        <v>211</v>
      </c>
      <c r="C25" s="124"/>
      <c r="D25" s="124">
        <v>15</v>
      </c>
      <c r="E25" s="124"/>
      <c r="F25" s="124">
        <v>28</v>
      </c>
      <c r="G25" s="125"/>
      <c r="H25" s="124">
        <v>50</v>
      </c>
      <c r="I25" s="146"/>
    </row>
    <row r="26" spans="1:9" x14ac:dyDescent="0.25">
      <c r="A26" s="113"/>
      <c r="B26" s="113" t="s">
        <v>55</v>
      </c>
      <c r="C26" s="117"/>
      <c r="D26" s="117">
        <v>46594.66</v>
      </c>
      <c r="E26" s="117"/>
      <c r="F26" s="117">
        <v>37962.01</v>
      </c>
      <c r="G26" s="118"/>
      <c r="H26" s="119">
        <v>50000</v>
      </c>
      <c r="I26" s="120"/>
    </row>
    <row r="27" spans="1:9" x14ac:dyDescent="0.25">
      <c r="A27" s="113"/>
      <c r="B27" s="113" t="s">
        <v>56</v>
      </c>
      <c r="C27" s="117"/>
      <c r="D27" s="117">
        <v>944.92</v>
      </c>
      <c r="E27" s="117"/>
      <c r="F27" s="117">
        <v>1015.59</v>
      </c>
      <c r="G27" s="118"/>
      <c r="H27" s="119">
        <v>1000</v>
      </c>
      <c r="I27" s="116"/>
    </row>
    <row r="28" spans="1:9" x14ac:dyDescent="0.25">
      <c r="A28" s="113"/>
      <c r="B28" s="113" t="s">
        <v>57</v>
      </c>
      <c r="C28" s="117"/>
      <c r="D28" s="117">
        <v>0</v>
      </c>
      <c r="E28" s="117"/>
      <c r="F28" s="117">
        <v>2672.94</v>
      </c>
      <c r="G28" s="118"/>
      <c r="H28" s="119">
        <v>2700</v>
      </c>
      <c r="I28" s="116"/>
    </row>
    <row r="29" spans="1:9" x14ac:dyDescent="0.25">
      <c r="A29" s="113"/>
      <c r="B29" s="113" t="s">
        <v>58</v>
      </c>
      <c r="C29" s="117"/>
      <c r="D29" s="117">
        <v>6000</v>
      </c>
      <c r="E29" s="117"/>
      <c r="F29" s="117">
        <v>5000</v>
      </c>
      <c r="G29" s="118"/>
      <c r="H29" s="119">
        <v>6000</v>
      </c>
      <c r="I29" s="116"/>
    </row>
    <row r="30" spans="1:9" x14ac:dyDescent="0.25">
      <c r="A30" s="113"/>
      <c r="B30" s="113" t="s">
        <v>59</v>
      </c>
      <c r="C30" s="117"/>
      <c r="D30" s="117">
        <v>296.98</v>
      </c>
      <c r="E30" s="117"/>
      <c r="F30" s="117">
        <v>62.17</v>
      </c>
      <c r="G30" s="118"/>
      <c r="H30" s="119">
        <v>800</v>
      </c>
      <c r="I30" s="116"/>
    </row>
    <row r="31" spans="1:9" s="39" customFormat="1" ht="15" x14ac:dyDescent="0.25">
      <c r="A31" s="128"/>
      <c r="B31" s="123" t="s">
        <v>220</v>
      </c>
      <c r="C31" s="124"/>
      <c r="D31" s="124">
        <v>296.98</v>
      </c>
      <c r="E31" s="124"/>
      <c r="F31" s="124">
        <v>309.01</v>
      </c>
      <c r="G31" s="125"/>
      <c r="H31" s="129">
        <v>450</v>
      </c>
      <c r="I31" s="146"/>
    </row>
    <row r="32" spans="1:9" s="39" customFormat="1" ht="15" x14ac:dyDescent="0.25">
      <c r="A32" s="128"/>
      <c r="B32" s="123" t="s">
        <v>221</v>
      </c>
      <c r="C32" s="124"/>
      <c r="D32" s="129">
        <v>0</v>
      </c>
      <c r="E32" s="124"/>
      <c r="F32" s="129">
        <v>-326.26</v>
      </c>
      <c r="G32" s="125"/>
      <c r="H32" s="129">
        <v>350</v>
      </c>
      <c r="I32" s="146"/>
    </row>
    <row r="33" spans="1:9" x14ac:dyDescent="0.25">
      <c r="A33" s="113"/>
      <c r="B33" s="113" t="s">
        <v>62</v>
      </c>
      <c r="C33" s="117"/>
      <c r="D33" s="119">
        <v>10000</v>
      </c>
      <c r="E33" s="117"/>
      <c r="F33" s="119">
        <v>0</v>
      </c>
      <c r="G33" s="118"/>
      <c r="H33" s="119">
        <v>10000</v>
      </c>
      <c r="I33" s="116" t="s">
        <v>250</v>
      </c>
    </row>
    <row r="34" spans="1:9" ht="23.25" x14ac:dyDescent="0.25">
      <c r="A34" s="113"/>
      <c r="B34" s="113" t="s">
        <v>205</v>
      </c>
      <c r="C34" s="117"/>
      <c r="D34" s="119">
        <v>2250</v>
      </c>
      <c r="E34" s="117"/>
      <c r="F34" s="119">
        <v>0</v>
      </c>
      <c r="G34" s="118"/>
      <c r="H34" s="119">
        <v>3000</v>
      </c>
      <c r="I34" s="148" t="s">
        <v>256</v>
      </c>
    </row>
    <row r="35" spans="1:9" x14ac:dyDescent="0.25">
      <c r="A35" s="113"/>
      <c r="B35" s="113" t="s">
        <v>63</v>
      </c>
      <c r="C35" s="117"/>
      <c r="D35" s="119">
        <f>SUM(D36:D38)</f>
        <v>5027.97</v>
      </c>
      <c r="E35" s="117"/>
      <c r="F35" s="119">
        <v>6503.36</v>
      </c>
      <c r="G35" s="118"/>
      <c r="H35" s="119">
        <v>6800</v>
      </c>
      <c r="I35" s="116"/>
    </row>
    <row r="36" spans="1:9" s="39" customFormat="1" ht="15" x14ac:dyDescent="0.25">
      <c r="A36" s="128"/>
      <c r="B36" s="123" t="s">
        <v>217</v>
      </c>
      <c r="C36" s="124"/>
      <c r="D36" s="129">
        <v>2027.97</v>
      </c>
      <c r="E36" s="124"/>
      <c r="F36" s="129">
        <v>2170.35</v>
      </c>
      <c r="G36" s="125"/>
      <c r="H36" s="129">
        <v>2300</v>
      </c>
      <c r="I36" s="146"/>
    </row>
    <row r="37" spans="1:9" s="39" customFormat="1" ht="15" x14ac:dyDescent="0.25">
      <c r="A37" s="128"/>
      <c r="B37" s="123" t="s">
        <v>218</v>
      </c>
      <c r="C37" s="124"/>
      <c r="D37" s="129">
        <v>3000</v>
      </c>
      <c r="E37" s="124"/>
      <c r="F37" s="129">
        <v>3000</v>
      </c>
      <c r="G37" s="125"/>
      <c r="H37" s="129">
        <v>3000</v>
      </c>
      <c r="I37" s="146"/>
    </row>
    <row r="38" spans="1:9" s="39" customFormat="1" ht="15" x14ac:dyDescent="0.25">
      <c r="A38" s="128"/>
      <c r="B38" s="123" t="s">
        <v>219</v>
      </c>
      <c r="C38" s="124"/>
      <c r="D38" s="129">
        <v>0</v>
      </c>
      <c r="E38" s="124"/>
      <c r="F38" s="129">
        <v>1333.01</v>
      </c>
      <c r="G38" s="125"/>
      <c r="H38" s="129">
        <v>1500</v>
      </c>
      <c r="I38" s="146"/>
    </row>
    <row r="39" spans="1:9" x14ac:dyDescent="0.25">
      <c r="A39" s="113"/>
      <c r="B39" s="113" t="s">
        <v>68</v>
      </c>
      <c r="C39" s="117"/>
      <c r="D39" s="119">
        <v>1750.77</v>
      </c>
      <c r="E39" s="117"/>
      <c r="F39" s="119">
        <v>900</v>
      </c>
      <c r="G39" s="118"/>
      <c r="H39" s="119">
        <f>1000+1500</f>
        <v>2500</v>
      </c>
      <c r="I39" s="116" t="s">
        <v>244</v>
      </c>
    </row>
    <row r="40" spans="1:9" x14ac:dyDescent="0.25">
      <c r="A40" s="113" t="s">
        <v>69</v>
      </c>
      <c r="B40" s="113"/>
      <c r="C40" s="121"/>
      <c r="D40" s="121">
        <f>SUM(D19, D26, D27, D28, D29, D30, D33, D34, D35, D39)</f>
        <v>76092.700000000012</v>
      </c>
      <c r="E40" s="121"/>
      <c r="F40" s="121">
        <f>ROUND(SUM(F18:F39),5)-F19-F35-F30</f>
        <v>57066.990000000005</v>
      </c>
      <c r="G40" s="122"/>
      <c r="H40" s="121">
        <f>ROUND(SUM(H18:H39),5)-H19-H35</f>
        <v>87350</v>
      </c>
      <c r="I40" s="116"/>
    </row>
    <row r="41" spans="1:9" x14ac:dyDescent="0.25">
      <c r="A41" s="113"/>
      <c r="B41" s="113"/>
      <c r="C41" s="130"/>
      <c r="D41" s="130">
        <f>ROUND(D17-D40,5)</f>
        <v>-14874.44</v>
      </c>
      <c r="E41" s="130"/>
      <c r="F41" s="130">
        <f>ROUND(F17-F40,5)</f>
        <v>10558.74</v>
      </c>
      <c r="G41" s="130"/>
      <c r="H41" s="130">
        <f>ROUND(H17-H40,5)</f>
        <v>-28350</v>
      </c>
      <c r="I41" s="131"/>
    </row>
    <row r="42" spans="1:9" x14ac:dyDescent="0.2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x14ac:dyDescent="0.25">
      <c r="A43" s="116"/>
      <c r="B43" s="116"/>
      <c r="C43" s="132"/>
      <c r="D43" s="132" t="s">
        <v>93</v>
      </c>
      <c r="E43" s="132"/>
      <c r="F43" s="132"/>
      <c r="G43" s="132"/>
      <c r="H43" s="132"/>
      <c r="I43" s="134"/>
    </row>
    <row r="44" spans="1:9" x14ac:dyDescent="0.25">
      <c r="A44" s="116"/>
      <c r="B44" s="116"/>
      <c r="C44" s="118"/>
      <c r="D44" s="116" t="s">
        <v>230</v>
      </c>
      <c r="E44" s="116"/>
      <c r="F44" s="116"/>
      <c r="G44" s="116"/>
      <c r="H44" s="118">
        <f>'FINAL 18-19'!G33</f>
        <v>68210.55</v>
      </c>
      <c r="I44" s="116"/>
    </row>
    <row r="45" spans="1:9" x14ac:dyDescent="0.25">
      <c r="A45" s="116"/>
      <c r="B45" s="116"/>
      <c r="C45" s="118"/>
      <c r="D45" s="116" t="s">
        <v>95</v>
      </c>
      <c r="E45" s="116"/>
      <c r="F45" s="116"/>
      <c r="G45" s="116"/>
      <c r="H45" s="118">
        <f>D41</f>
        <v>-14874.44</v>
      </c>
      <c r="I45" s="116"/>
    </row>
    <row r="46" spans="1:9" x14ac:dyDescent="0.25">
      <c r="A46" s="116"/>
      <c r="B46" s="116"/>
      <c r="C46" s="118"/>
      <c r="D46" s="136" t="s">
        <v>255</v>
      </c>
      <c r="E46" s="116"/>
      <c r="F46" s="116"/>
      <c r="G46" s="116"/>
      <c r="H46" s="118">
        <f>SUM(H44:H45)</f>
        <v>53336.11</v>
      </c>
      <c r="I46" s="116"/>
    </row>
    <row r="47" spans="1:9" ht="16.5" thickBot="1" x14ac:dyDescent="0.3">
      <c r="C47" s="101"/>
      <c r="H47" s="101"/>
    </row>
    <row r="48" spans="1:9" x14ac:dyDescent="0.25">
      <c r="B48" s="137" t="s">
        <v>249</v>
      </c>
      <c r="C48" s="140"/>
      <c r="D48" s="141"/>
      <c r="H48" s="101"/>
    </row>
    <row r="49" spans="2:4" x14ac:dyDescent="0.25">
      <c r="B49" s="138" t="s">
        <v>238</v>
      </c>
      <c r="C49" s="147"/>
      <c r="D49" s="143">
        <v>0</v>
      </c>
    </row>
    <row r="50" spans="2:4" x14ac:dyDescent="0.25">
      <c r="B50" s="138" t="s">
        <v>239</v>
      </c>
      <c r="C50" s="147"/>
      <c r="D50" s="143">
        <v>0</v>
      </c>
    </row>
    <row r="51" spans="2:4" x14ac:dyDescent="0.25">
      <c r="B51" s="138" t="s">
        <v>240</v>
      </c>
      <c r="C51" s="147"/>
      <c r="D51" s="143">
        <v>41324.480000000003</v>
      </c>
    </row>
    <row r="52" spans="2:4" x14ac:dyDescent="0.25">
      <c r="B52" s="138" t="s">
        <v>241</v>
      </c>
      <c r="C52" s="147"/>
      <c r="D52" s="143">
        <v>12011.63</v>
      </c>
    </row>
    <row r="53" spans="2:4" ht="16.5" thickBot="1" x14ac:dyDescent="0.3">
      <c r="B53" s="139" t="s">
        <v>242</v>
      </c>
      <c r="C53" s="144"/>
      <c r="D53" s="145">
        <f>SUM(D49:D52)</f>
        <v>53336.11</v>
      </c>
    </row>
  </sheetData>
  <mergeCells count="1">
    <mergeCell ref="A1:I2"/>
  </mergeCells>
  <pageMargins left="0.25" right="0.25" top="0.5" bottom="0.5" header="0.3" footer="0.3"/>
  <pageSetup scale="70" orientation="portrait" r:id="rId1"/>
  <headerFooter>
    <oddFooter>&amp;R&amp;D</oddFooter>
  </headerFooter>
  <ignoredErrors>
    <ignoredError sqref="D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B5BE-B5F4-45E4-A235-CD852EB009D9}">
  <sheetPr>
    <pageSetUpPr fitToPage="1"/>
  </sheetPr>
  <dimension ref="A1:I53"/>
  <sheetViews>
    <sheetView workbookViewId="0">
      <selection activeCell="F52" sqref="F52"/>
    </sheetView>
  </sheetViews>
  <sheetFormatPr defaultColWidth="8.85546875" defaultRowHeight="15.75" x14ac:dyDescent="0.25"/>
  <cols>
    <col min="1" max="1" width="4.7109375" style="1" customWidth="1"/>
    <col min="2" max="2" width="36.28515625" style="1" bestFit="1" customWidth="1"/>
    <col min="3" max="3" width="2.85546875" style="1" customWidth="1"/>
    <col min="4" max="4" width="19.7109375" style="1" bestFit="1" customWidth="1"/>
    <col min="5" max="5" width="2.85546875" style="1" customWidth="1"/>
    <col min="6" max="6" width="12.7109375" style="1" bestFit="1" customWidth="1"/>
    <col min="7" max="7" width="2.85546875" style="1" customWidth="1"/>
    <col min="8" max="8" width="13.5703125" style="1" bestFit="1" customWidth="1"/>
    <col min="9" max="9" width="49.42578125" style="1" customWidth="1"/>
    <col min="10" max="10" width="8.85546875" style="1"/>
    <col min="11" max="11" width="12.85546875" style="1" bestFit="1" customWidth="1"/>
    <col min="12" max="16384" width="8.85546875" style="1"/>
  </cols>
  <sheetData>
    <row r="1" spans="1:9" ht="21.95" customHeight="1" x14ac:dyDescent="0.25">
      <c r="A1" s="256" t="s">
        <v>247</v>
      </c>
      <c r="B1" s="257"/>
      <c r="C1" s="257"/>
      <c r="D1" s="257"/>
      <c r="E1" s="257"/>
      <c r="F1" s="257"/>
      <c r="G1" s="257"/>
      <c r="H1" s="257"/>
      <c r="I1" s="258"/>
    </row>
    <row r="2" spans="1:9" ht="16.5" customHeight="1" x14ac:dyDescent="0.25">
      <c r="A2" s="259"/>
      <c r="B2" s="260"/>
      <c r="C2" s="260"/>
      <c r="D2" s="260"/>
      <c r="E2" s="260"/>
      <c r="F2" s="260"/>
      <c r="G2" s="260"/>
      <c r="H2" s="260"/>
      <c r="I2" s="261"/>
    </row>
    <row r="3" spans="1:9" ht="65.45" customHeight="1" x14ac:dyDescent="0.25">
      <c r="A3" s="108"/>
      <c r="B3" s="108"/>
      <c r="C3" s="109"/>
      <c r="D3" s="109" t="s">
        <v>234</v>
      </c>
      <c r="E3" s="110"/>
      <c r="F3" s="109" t="s">
        <v>233</v>
      </c>
      <c r="G3" s="111"/>
      <c r="H3" s="112" t="s">
        <v>232</v>
      </c>
      <c r="I3" s="109" t="s">
        <v>160</v>
      </c>
    </row>
    <row r="4" spans="1:9" x14ac:dyDescent="0.25">
      <c r="A4" s="113" t="s">
        <v>4</v>
      </c>
      <c r="B4" s="113"/>
      <c r="C4" s="114"/>
      <c r="D4" s="114"/>
      <c r="E4" s="115"/>
      <c r="F4" s="114"/>
      <c r="G4" s="116"/>
      <c r="H4" s="114"/>
      <c r="I4" s="116"/>
    </row>
    <row r="5" spans="1:9" x14ac:dyDescent="0.25">
      <c r="A5" s="113"/>
      <c r="B5" s="113" t="s">
        <v>5</v>
      </c>
      <c r="C5" s="117"/>
      <c r="D5" s="117">
        <v>13810.87</v>
      </c>
      <c r="E5" s="117"/>
      <c r="F5" s="117">
        <v>11970.78</v>
      </c>
      <c r="G5" s="118"/>
      <c r="H5" s="117">
        <v>10000</v>
      </c>
      <c r="I5" s="116"/>
    </row>
    <row r="6" spans="1:9" x14ac:dyDescent="0.25">
      <c r="A6" s="113"/>
      <c r="B6" s="113" t="s">
        <v>10</v>
      </c>
      <c r="C6" s="117"/>
      <c r="D6" s="117">
        <v>7.34</v>
      </c>
      <c r="E6" s="117"/>
      <c r="F6" s="117">
        <v>30.31</v>
      </c>
      <c r="G6" s="118"/>
      <c r="H6" s="117">
        <v>0</v>
      </c>
      <c r="I6" s="116"/>
    </row>
    <row r="7" spans="1:9" ht="31.5" x14ac:dyDescent="0.25">
      <c r="A7" s="113"/>
      <c r="B7" s="113" t="s">
        <v>11</v>
      </c>
      <c r="C7" s="117"/>
      <c r="D7" s="119">
        <v>27749.82</v>
      </c>
      <c r="E7" s="117"/>
      <c r="F7" s="119">
        <v>18806.87</v>
      </c>
      <c r="G7" s="118"/>
      <c r="H7" s="117">
        <v>18500</v>
      </c>
      <c r="I7" s="120" t="s">
        <v>251</v>
      </c>
    </row>
    <row r="8" spans="1:9" x14ac:dyDescent="0.25">
      <c r="A8" s="113"/>
      <c r="B8" s="113" t="s">
        <v>15</v>
      </c>
      <c r="C8" s="117"/>
      <c r="D8" s="119">
        <v>0</v>
      </c>
      <c r="E8" s="117"/>
      <c r="F8" s="119">
        <v>5368.5</v>
      </c>
      <c r="G8" s="118"/>
      <c r="H8" s="117">
        <v>5000</v>
      </c>
      <c r="I8" s="116"/>
    </row>
    <row r="9" spans="1:9" x14ac:dyDescent="0.25">
      <c r="A9" s="113"/>
      <c r="B9" s="113" t="s">
        <v>16</v>
      </c>
      <c r="C9" s="117"/>
      <c r="D9" s="119">
        <v>77</v>
      </c>
      <c r="E9" s="117"/>
      <c r="F9" s="119">
        <v>500</v>
      </c>
      <c r="G9" s="118"/>
      <c r="H9" s="117">
        <v>0</v>
      </c>
      <c r="I9" s="116"/>
    </row>
    <row r="10" spans="1:9" x14ac:dyDescent="0.25">
      <c r="A10" s="113"/>
      <c r="B10" s="113" t="s">
        <v>202</v>
      </c>
      <c r="C10" s="117"/>
      <c r="D10" s="119">
        <v>14872</v>
      </c>
      <c r="E10" s="117"/>
      <c r="F10" s="119">
        <v>22392.34</v>
      </c>
      <c r="G10" s="118"/>
      <c r="H10" s="117">
        <f>(4000*3)+5000</f>
        <v>17000</v>
      </c>
      <c r="I10" s="120" t="s">
        <v>252</v>
      </c>
    </row>
    <row r="11" spans="1:9" x14ac:dyDescent="0.25">
      <c r="A11" s="113"/>
      <c r="B11" s="113" t="s">
        <v>203</v>
      </c>
      <c r="C11" s="117"/>
      <c r="D11" s="119">
        <v>0</v>
      </c>
      <c r="E11" s="117"/>
      <c r="F11" s="119">
        <f>3901.73+76.99</f>
        <v>3978.72</v>
      </c>
      <c r="G11" s="118"/>
      <c r="H11" s="117">
        <v>3000</v>
      </c>
      <c r="I11" s="120"/>
    </row>
    <row r="12" spans="1:9" x14ac:dyDescent="0.25">
      <c r="A12" s="113"/>
      <c r="B12" s="113" t="s">
        <v>204</v>
      </c>
      <c r="C12" s="117"/>
      <c r="D12" s="119">
        <v>0</v>
      </c>
      <c r="E12" s="117"/>
      <c r="F12" s="119">
        <v>0</v>
      </c>
      <c r="G12" s="118"/>
      <c r="H12" s="117"/>
      <c r="I12" s="120"/>
    </row>
    <row r="13" spans="1:9" x14ac:dyDescent="0.25">
      <c r="A13" s="113"/>
      <c r="B13" s="113" t="s">
        <v>44</v>
      </c>
      <c r="C13" s="117"/>
      <c r="D13" s="119">
        <v>2850</v>
      </c>
      <c r="E13" s="117"/>
      <c r="F13" s="119">
        <v>3591.11</v>
      </c>
      <c r="G13" s="118"/>
      <c r="H13" s="117">
        <v>2000</v>
      </c>
      <c r="I13" s="116"/>
    </row>
    <row r="14" spans="1:9" x14ac:dyDescent="0.25">
      <c r="A14" s="113"/>
      <c r="B14" s="113" t="s">
        <v>46</v>
      </c>
      <c r="C14" s="117"/>
      <c r="D14" s="119">
        <v>1020</v>
      </c>
      <c r="E14" s="117"/>
      <c r="F14" s="119">
        <v>897</v>
      </c>
      <c r="G14" s="118"/>
      <c r="H14" s="117">
        <f>900</f>
        <v>900</v>
      </c>
      <c r="I14" s="116"/>
    </row>
    <row r="15" spans="1:9" x14ac:dyDescent="0.25">
      <c r="A15" s="113"/>
      <c r="B15" s="113" t="s">
        <v>49</v>
      </c>
      <c r="C15" s="117"/>
      <c r="D15" s="119">
        <v>-4763.49</v>
      </c>
      <c r="E15" s="117"/>
      <c r="F15" s="119">
        <v>90.1</v>
      </c>
      <c r="G15" s="118"/>
      <c r="H15" s="117">
        <v>2600</v>
      </c>
      <c r="I15" s="120" t="s">
        <v>253</v>
      </c>
    </row>
    <row r="16" spans="1:9" x14ac:dyDescent="0.25">
      <c r="A16" s="113"/>
      <c r="B16" s="113" t="s">
        <v>51</v>
      </c>
      <c r="C16" s="117"/>
      <c r="D16" s="117">
        <v>0</v>
      </c>
      <c r="E16" s="117"/>
      <c r="F16" s="117">
        <v>0</v>
      </c>
      <c r="G16" s="118"/>
      <c r="H16" s="117">
        <v>0</v>
      </c>
      <c r="I16" s="116"/>
    </row>
    <row r="17" spans="1:9" x14ac:dyDescent="0.25">
      <c r="A17" s="113" t="s">
        <v>53</v>
      </c>
      <c r="B17" s="113"/>
      <c r="C17" s="121"/>
      <c r="D17" s="121">
        <f>ROUND(SUM(D4:D16),5)</f>
        <v>55623.54</v>
      </c>
      <c r="E17" s="121"/>
      <c r="F17" s="121">
        <f>ROUND(SUM(F4:F16),5)</f>
        <v>67625.73</v>
      </c>
      <c r="G17" s="122"/>
      <c r="H17" s="121">
        <f>ROUND(SUM(H4:H16),5)</f>
        <v>59000</v>
      </c>
      <c r="I17" s="116"/>
    </row>
    <row r="18" spans="1:9" x14ac:dyDescent="0.25">
      <c r="A18" s="113" t="s">
        <v>6</v>
      </c>
      <c r="B18" s="113"/>
      <c r="C18" s="117"/>
      <c r="D18" s="117"/>
      <c r="E18" s="117"/>
      <c r="F18" s="117"/>
      <c r="G18" s="118"/>
      <c r="H18" s="117"/>
      <c r="I18" s="116"/>
    </row>
    <row r="19" spans="1:9" x14ac:dyDescent="0.25">
      <c r="A19" s="113"/>
      <c r="B19" s="113" t="s">
        <v>54</v>
      </c>
      <c r="C19" s="117"/>
      <c r="D19" s="117">
        <v>172.5</v>
      </c>
      <c r="E19" s="117"/>
      <c r="F19" s="117">
        <v>3030.34</v>
      </c>
      <c r="G19" s="118"/>
      <c r="H19" s="117">
        <v>3500</v>
      </c>
      <c r="I19" s="116"/>
    </row>
    <row r="20" spans="1:9" s="39" customFormat="1" ht="15" x14ac:dyDescent="0.25">
      <c r="A20" s="123"/>
      <c r="B20" s="123" t="s">
        <v>216</v>
      </c>
      <c r="C20" s="124"/>
      <c r="D20" s="124">
        <v>0</v>
      </c>
      <c r="E20" s="124"/>
      <c r="F20" s="124">
        <v>1300</v>
      </c>
      <c r="G20" s="125"/>
      <c r="H20" s="124">
        <v>1300</v>
      </c>
      <c r="I20" s="146"/>
    </row>
    <row r="21" spans="1:9" s="39" customFormat="1" ht="15" x14ac:dyDescent="0.25">
      <c r="A21" s="123"/>
      <c r="B21" s="123" t="s">
        <v>215</v>
      </c>
      <c r="C21" s="124"/>
      <c r="D21" s="124">
        <v>684.97</v>
      </c>
      <c r="E21" s="124"/>
      <c r="F21" s="124">
        <v>861.15</v>
      </c>
      <c r="G21" s="125"/>
      <c r="H21" s="124">
        <v>1550</v>
      </c>
      <c r="I21" s="146"/>
    </row>
    <row r="22" spans="1:9" s="39" customFormat="1" ht="15" x14ac:dyDescent="0.25">
      <c r="A22" s="123"/>
      <c r="B22" s="123" t="s">
        <v>214</v>
      </c>
      <c r="C22" s="124"/>
      <c r="D22" s="124">
        <v>75</v>
      </c>
      <c r="E22" s="124"/>
      <c r="F22" s="124">
        <v>251.19</v>
      </c>
      <c r="G22" s="125"/>
      <c r="H22" s="124">
        <v>100</v>
      </c>
      <c r="I22" s="146"/>
    </row>
    <row r="23" spans="1:9" s="39" customFormat="1" ht="15" x14ac:dyDescent="0.25">
      <c r="A23" s="123"/>
      <c r="B23" s="123" t="s">
        <v>213</v>
      </c>
      <c r="C23" s="124"/>
      <c r="D23" s="124">
        <v>0</v>
      </c>
      <c r="E23" s="124"/>
      <c r="F23" s="124">
        <v>0</v>
      </c>
      <c r="G23" s="125"/>
      <c r="H23" s="124">
        <v>0</v>
      </c>
      <c r="I23" s="146"/>
    </row>
    <row r="24" spans="1:9" s="39" customFormat="1" ht="15" x14ac:dyDescent="0.25">
      <c r="A24" s="123"/>
      <c r="B24" s="123" t="s">
        <v>212</v>
      </c>
      <c r="C24" s="124"/>
      <c r="D24" s="124">
        <v>590</v>
      </c>
      <c r="E24" s="124"/>
      <c r="F24" s="124">
        <v>590</v>
      </c>
      <c r="G24" s="125"/>
      <c r="H24" s="124">
        <v>750</v>
      </c>
      <c r="I24" s="146"/>
    </row>
    <row r="25" spans="1:9" s="39" customFormat="1" ht="15" x14ac:dyDescent="0.25">
      <c r="A25" s="123"/>
      <c r="B25" s="123" t="s">
        <v>211</v>
      </c>
      <c r="C25" s="124"/>
      <c r="D25" s="124">
        <v>0</v>
      </c>
      <c r="E25" s="124"/>
      <c r="F25" s="124">
        <v>28</v>
      </c>
      <c r="G25" s="125"/>
      <c r="H25" s="124">
        <v>50</v>
      </c>
      <c r="I25" s="146"/>
    </row>
    <row r="26" spans="1:9" x14ac:dyDescent="0.25">
      <c r="A26" s="113"/>
      <c r="B26" s="113" t="s">
        <v>55</v>
      </c>
      <c r="C26" s="117"/>
      <c r="D26" s="117">
        <v>0</v>
      </c>
      <c r="E26" s="117"/>
      <c r="F26" s="117">
        <v>37962.01</v>
      </c>
      <c r="G26" s="118"/>
      <c r="H26" s="119">
        <v>50000</v>
      </c>
      <c r="I26" s="120"/>
    </row>
    <row r="27" spans="1:9" x14ac:dyDescent="0.25">
      <c r="A27" s="113"/>
      <c r="B27" s="113" t="s">
        <v>56</v>
      </c>
      <c r="C27" s="117"/>
      <c r="D27" s="117">
        <v>0</v>
      </c>
      <c r="E27" s="117"/>
      <c r="F27" s="117">
        <v>1015.59</v>
      </c>
      <c r="G27" s="118"/>
      <c r="H27" s="119">
        <v>1000</v>
      </c>
      <c r="I27" s="116"/>
    </row>
    <row r="28" spans="1:9" x14ac:dyDescent="0.25">
      <c r="A28" s="113"/>
      <c r="B28" s="113" t="s">
        <v>57</v>
      </c>
      <c r="C28" s="117"/>
      <c r="D28" s="117">
        <v>0</v>
      </c>
      <c r="E28" s="117"/>
      <c r="F28" s="117">
        <v>2672.94</v>
      </c>
      <c r="G28" s="118"/>
      <c r="H28" s="119">
        <v>2700</v>
      </c>
      <c r="I28" s="116"/>
    </row>
    <row r="29" spans="1:9" x14ac:dyDescent="0.25">
      <c r="A29" s="113"/>
      <c r="B29" s="113" t="s">
        <v>58</v>
      </c>
      <c r="C29" s="117"/>
      <c r="D29" s="117">
        <v>6000</v>
      </c>
      <c r="E29" s="117"/>
      <c r="F29" s="117">
        <v>5000</v>
      </c>
      <c r="G29" s="118"/>
      <c r="H29" s="119">
        <v>6000</v>
      </c>
      <c r="I29" s="116"/>
    </row>
    <row r="30" spans="1:9" x14ac:dyDescent="0.25">
      <c r="A30" s="113"/>
      <c r="B30" s="113" t="s">
        <v>59</v>
      </c>
      <c r="C30" s="117"/>
      <c r="D30" s="117">
        <v>159.91999999999999</v>
      </c>
      <c r="E30" s="117"/>
      <c r="F30" s="117">
        <v>62.17</v>
      </c>
      <c r="G30" s="118"/>
      <c r="H30" s="119">
        <v>800</v>
      </c>
      <c r="I30" s="116"/>
    </row>
    <row r="31" spans="1:9" s="39" customFormat="1" ht="15" x14ac:dyDescent="0.25">
      <c r="A31" s="128"/>
      <c r="B31" s="123" t="s">
        <v>220</v>
      </c>
      <c r="C31" s="124"/>
      <c r="D31" s="124">
        <v>159.91999999999999</v>
      </c>
      <c r="E31" s="124"/>
      <c r="F31" s="124">
        <v>309.01</v>
      </c>
      <c r="G31" s="125"/>
      <c r="H31" s="129">
        <v>450</v>
      </c>
      <c r="I31" s="146"/>
    </row>
    <row r="32" spans="1:9" s="39" customFormat="1" ht="15" x14ac:dyDescent="0.25">
      <c r="A32" s="128"/>
      <c r="B32" s="123" t="s">
        <v>221</v>
      </c>
      <c r="C32" s="124"/>
      <c r="D32" s="129">
        <v>0</v>
      </c>
      <c r="E32" s="124"/>
      <c r="F32" s="129">
        <v>-326.26</v>
      </c>
      <c r="G32" s="125"/>
      <c r="H32" s="129">
        <v>350</v>
      </c>
      <c r="I32" s="146"/>
    </row>
    <row r="33" spans="1:9" x14ac:dyDescent="0.25">
      <c r="A33" s="113"/>
      <c r="B33" s="113" t="s">
        <v>62</v>
      </c>
      <c r="C33" s="117"/>
      <c r="D33" s="119">
        <v>0</v>
      </c>
      <c r="E33" s="117"/>
      <c r="F33" s="119">
        <v>0</v>
      </c>
      <c r="G33" s="118"/>
      <c r="H33" s="119">
        <v>10000</v>
      </c>
      <c r="I33" s="116" t="s">
        <v>250</v>
      </c>
    </row>
    <row r="34" spans="1:9" x14ac:dyDescent="0.25">
      <c r="A34" s="113"/>
      <c r="B34" s="113" t="s">
        <v>205</v>
      </c>
      <c r="C34" s="117"/>
      <c r="D34" s="119">
        <v>0</v>
      </c>
      <c r="E34" s="117"/>
      <c r="F34" s="119">
        <v>0</v>
      </c>
      <c r="G34" s="118"/>
      <c r="H34" s="119">
        <v>3000</v>
      </c>
      <c r="I34" s="116"/>
    </row>
    <row r="35" spans="1:9" x14ac:dyDescent="0.25">
      <c r="A35" s="113"/>
      <c r="B35" s="113" t="s">
        <v>63</v>
      </c>
      <c r="C35" s="117"/>
      <c r="D35" s="119"/>
      <c r="E35" s="117"/>
      <c r="F35" s="119">
        <v>6503.36</v>
      </c>
      <c r="G35" s="118"/>
      <c r="H35" s="119">
        <v>6800</v>
      </c>
      <c r="I35" s="116"/>
    </row>
    <row r="36" spans="1:9" s="39" customFormat="1" ht="15" x14ac:dyDescent="0.25">
      <c r="A36" s="128"/>
      <c r="B36" s="123" t="s">
        <v>217</v>
      </c>
      <c r="C36" s="124"/>
      <c r="D36" s="129">
        <v>0</v>
      </c>
      <c r="E36" s="124"/>
      <c r="F36" s="129">
        <v>2170.35</v>
      </c>
      <c r="G36" s="125"/>
      <c r="H36" s="129">
        <v>2300</v>
      </c>
      <c r="I36" s="146"/>
    </row>
    <row r="37" spans="1:9" s="39" customFormat="1" ht="15" x14ac:dyDescent="0.25">
      <c r="A37" s="128"/>
      <c r="B37" s="123" t="s">
        <v>218</v>
      </c>
      <c r="C37" s="124"/>
      <c r="D37" s="129">
        <v>0</v>
      </c>
      <c r="E37" s="124"/>
      <c r="F37" s="129">
        <v>3000</v>
      </c>
      <c r="G37" s="125"/>
      <c r="H37" s="129">
        <v>3000</v>
      </c>
      <c r="I37" s="146"/>
    </row>
    <row r="38" spans="1:9" s="39" customFormat="1" ht="15" x14ac:dyDescent="0.25">
      <c r="A38" s="128"/>
      <c r="B38" s="123" t="s">
        <v>219</v>
      </c>
      <c r="C38" s="124"/>
      <c r="D38" s="129">
        <v>0</v>
      </c>
      <c r="E38" s="124"/>
      <c r="F38" s="129">
        <v>1333.01</v>
      </c>
      <c r="G38" s="125"/>
      <c r="H38" s="129">
        <v>1500</v>
      </c>
      <c r="I38" s="146"/>
    </row>
    <row r="39" spans="1:9" x14ac:dyDescent="0.25">
      <c r="A39" s="113"/>
      <c r="B39" s="113" t="s">
        <v>68</v>
      </c>
      <c r="C39" s="117"/>
      <c r="D39" s="119">
        <v>1270.77</v>
      </c>
      <c r="E39" s="117"/>
      <c r="F39" s="119">
        <v>900</v>
      </c>
      <c r="G39" s="118"/>
      <c r="H39" s="119">
        <f>1000+1500</f>
        <v>2500</v>
      </c>
      <c r="I39" s="116" t="s">
        <v>244</v>
      </c>
    </row>
    <row r="40" spans="1:9" x14ac:dyDescent="0.25">
      <c r="A40" s="113" t="s">
        <v>69</v>
      </c>
      <c r="B40" s="113"/>
      <c r="C40" s="121"/>
      <c r="D40" s="121">
        <f>ROUND(SUM(D18:D39),5)-D19-D35-D30</f>
        <v>8780.66</v>
      </c>
      <c r="E40" s="121"/>
      <c r="F40" s="121">
        <f>ROUND(SUM(F18:F39),5)-F19-F35-F30</f>
        <v>57066.990000000005</v>
      </c>
      <c r="G40" s="122"/>
      <c r="H40" s="121">
        <f>ROUND(SUM(H18:H39),5)-H19-H35</f>
        <v>87350</v>
      </c>
      <c r="I40" s="116"/>
    </row>
    <row r="41" spans="1:9" x14ac:dyDescent="0.25">
      <c r="A41" s="113"/>
      <c r="B41" s="113"/>
      <c r="C41" s="130"/>
      <c r="D41" s="130">
        <f>ROUND(D17-D40,5)</f>
        <v>46842.879999999997</v>
      </c>
      <c r="E41" s="130"/>
      <c r="F41" s="130">
        <f>ROUND(F17-F40,5)</f>
        <v>10558.74</v>
      </c>
      <c r="G41" s="130"/>
      <c r="H41" s="130">
        <f>ROUND(H17-H40,5)</f>
        <v>-28350</v>
      </c>
      <c r="I41" s="131"/>
    </row>
    <row r="42" spans="1:9" x14ac:dyDescent="0.2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x14ac:dyDescent="0.25">
      <c r="A43" s="116"/>
      <c r="B43" s="116"/>
      <c r="C43" s="132"/>
      <c r="D43" s="132" t="s">
        <v>93</v>
      </c>
      <c r="E43" s="132"/>
      <c r="F43" s="132"/>
      <c r="G43" s="132"/>
      <c r="H43" s="132"/>
      <c r="I43" s="134"/>
    </row>
    <row r="44" spans="1:9" x14ac:dyDescent="0.25">
      <c r="A44" s="116"/>
      <c r="B44" s="116"/>
      <c r="C44" s="118"/>
      <c r="D44" s="116" t="s">
        <v>230</v>
      </c>
      <c r="E44" s="116"/>
      <c r="F44" s="116"/>
      <c r="G44" s="116"/>
      <c r="H44" s="118">
        <f>'FINAL 18-19'!G33</f>
        <v>68210.55</v>
      </c>
      <c r="I44" s="116"/>
    </row>
    <row r="45" spans="1:9" x14ac:dyDescent="0.25">
      <c r="A45" s="116"/>
      <c r="B45" s="116"/>
      <c r="C45" s="118"/>
      <c r="D45" s="116" t="s">
        <v>95</v>
      </c>
      <c r="E45" s="116"/>
      <c r="F45" s="116"/>
      <c r="G45" s="116"/>
      <c r="H45" s="118">
        <f>D41</f>
        <v>46842.879999999997</v>
      </c>
      <c r="I45" s="116"/>
    </row>
    <row r="46" spans="1:9" x14ac:dyDescent="0.25">
      <c r="A46" s="116"/>
      <c r="B46" s="116"/>
      <c r="C46" s="118"/>
      <c r="D46" s="136" t="s">
        <v>248</v>
      </c>
      <c r="E46" s="116"/>
      <c r="F46" s="116"/>
      <c r="G46" s="116"/>
      <c r="H46" s="118">
        <f>SUM(H44:H45)</f>
        <v>115053.43</v>
      </c>
      <c r="I46" s="116"/>
    </row>
    <row r="47" spans="1:9" ht="16.5" thickBot="1" x14ac:dyDescent="0.3">
      <c r="C47" s="101"/>
      <c r="H47" s="101"/>
    </row>
    <row r="48" spans="1:9" x14ac:dyDescent="0.25">
      <c r="B48" s="137" t="s">
        <v>249</v>
      </c>
      <c r="C48" s="140"/>
      <c r="D48" s="141"/>
      <c r="H48" s="101"/>
    </row>
    <row r="49" spans="2:4" x14ac:dyDescent="0.25">
      <c r="B49" s="138" t="s">
        <v>238</v>
      </c>
      <c r="C49" s="147"/>
      <c r="D49" s="143">
        <v>46773.279999999999</v>
      </c>
    </row>
    <row r="50" spans="2:4" x14ac:dyDescent="0.25">
      <c r="B50" s="138" t="s">
        <v>239</v>
      </c>
      <c r="C50" s="147"/>
      <c r="D50" s="143">
        <v>968.94</v>
      </c>
    </row>
    <row r="51" spans="2:4" x14ac:dyDescent="0.25">
      <c r="B51" s="138" t="s">
        <v>240</v>
      </c>
      <c r="C51" s="147"/>
      <c r="D51" s="143">
        <v>29845.53</v>
      </c>
    </row>
    <row r="52" spans="2:4" x14ac:dyDescent="0.25">
      <c r="B52" s="138" t="s">
        <v>241</v>
      </c>
      <c r="C52" s="147"/>
      <c r="D52" s="143">
        <v>37465.68</v>
      </c>
    </row>
    <row r="53" spans="2:4" ht="16.5" thickBot="1" x14ac:dyDescent="0.3">
      <c r="B53" s="139" t="s">
        <v>242</v>
      </c>
      <c r="C53" s="144"/>
      <c r="D53" s="145">
        <f>SUM(D49:D52)</f>
        <v>115053.43</v>
      </c>
    </row>
  </sheetData>
  <mergeCells count="1">
    <mergeCell ref="A1:I2"/>
  </mergeCells>
  <pageMargins left="0.25" right="0.25" top="0.25" bottom="0.25" header="0.3" footer="0.3"/>
  <pageSetup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30</vt:i4>
      </vt:variant>
    </vt:vector>
  </HeadingPairs>
  <TitlesOfParts>
    <vt:vector size="53" baseType="lpstr">
      <vt:lpstr>21-22 Budget Proposed 7 8 21</vt:lpstr>
      <vt:lpstr>Final June 2021</vt:lpstr>
      <vt:lpstr>April 2021</vt:lpstr>
      <vt:lpstr>February 2021 New approval</vt:lpstr>
      <vt:lpstr>February 2021</vt:lpstr>
      <vt:lpstr>Nov 2020</vt:lpstr>
      <vt:lpstr>20-21 Budget Mtg</vt:lpstr>
      <vt:lpstr>June 2020</vt:lpstr>
      <vt:lpstr>Nov 2019</vt:lpstr>
      <vt:lpstr>Sept 2019</vt:lpstr>
      <vt:lpstr>19-20 Budget Mtg</vt:lpstr>
      <vt:lpstr>FINAL 18-19</vt:lpstr>
      <vt:lpstr>April 2019</vt:lpstr>
      <vt:lpstr>Feb 2019</vt:lpstr>
      <vt:lpstr>Nov 2018</vt:lpstr>
      <vt:lpstr>Sept 2018</vt:lpstr>
      <vt:lpstr>FINAL 17-18</vt:lpstr>
      <vt:lpstr>April 2018</vt:lpstr>
      <vt:lpstr>Mar 2018</vt:lpstr>
      <vt:lpstr>Feb 2018</vt:lpstr>
      <vt:lpstr>Jan 2018</vt:lpstr>
      <vt:lpstr>Oct 2017</vt:lpstr>
      <vt:lpstr>Sept 2017</vt:lpstr>
      <vt:lpstr>'19-20 Budget Mtg'!Print_Area</vt:lpstr>
      <vt:lpstr>'20-21 Budget Mtg'!Print_Area</vt:lpstr>
      <vt:lpstr>'21-22 Budget Proposed 7 8 21'!Print_Area</vt:lpstr>
      <vt:lpstr>'April 2018'!Print_Area</vt:lpstr>
      <vt:lpstr>'April 2019'!Print_Area</vt:lpstr>
      <vt:lpstr>'April 2021'!Print_Area</vt:lpstr>
      <vt:lpstr>'Feb 2018'!Print_Area</vt:lpstr>
      <vt:lpstr>'Feb 2019'!Print_Area</vt:lpstr>
      <vt:lpstr>'February 2021'!Print_Area</vt:lpstr>
      <vt:lpstr>'February 2021 New approval'!Print_Area</vt:lpstr>
      <vt:lpstr>'FINAL 17-18'!Print_Area</vt:lpstr>
      <vt:lpstr>'FINAL 18-19'!Print_Area</vt:lpstr>
      <vt:lpstr>'Final June 2021'!Print_Area</vt:lpstr>
      <vt:lpstr>'Jan 2018'!Print_Area</vt:lpstr>
      <vt:lpstr>'June 2020'!Print_Area</vt:lpstr>
      <vt:lpstr>'Mar 2018'!Print_Area</vt:lpstr>
      <vt:lpstr>'Nov 2018'!Print_Area</vt:lpstr>
      <vt:lpstr>'Nov 2019'!Print_Area</vt:lpstr>
      <vt:lpstr>'Nov 2020'!Print_Area</vt:lpstr>
      <vt:lpstr>'Oct 2017'!Print_Area</vt:lpstr>
      <vt:lpstr>'Sept 2017'!Print_Area</vt:lpstr>
      <vt:lpstr>'Sept 2018'!Print_Area</vt:lpstr>
      <vt:lpstr>'Sept 2019'!Print_Area</vt:lpstr>
      <vt:lpstr>'April 2018'!Print_Titles</vt:lpstr>
      <vt:lpstr>'Feb 2018'!Print_Titles</vt:lpstr>
      <vt:lpstr>'FINAL 17-18'!Print_Titles</vt:lpstr>
      <vt:lpstr>'Jan 2018'!Print_Titles</vt:lpstr>
      <vt:lpstr>'Mar 2018'!Print_Titles</vt:lpstr>
      <vt:lpstr>'Oct 2017'!Print_Titles</vt:lpstr>
      <vt:lpstr>'Sept 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Olsen</dc:creator>
  <cp:lastModifiedBy>Helene Gniadek</cp:lastModifiedBy>
  <cp:lastPrinted>2021-07-06T20:21:52Z</cp:lastPrinted>
  <dcterms:created xsi:type="dcterms:W3CDTF">2017-09-17T17:29:20Z</dcterms:created>
  <dcterms:modified xsi:type="dcterms:W3CDTF">2021-07-08T16:24:32Z</dcterms:modified>
</cp:coreProperties>
</file>